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5.3" sheetId="1" r:id="rId1"/>
    <sheet name="Calcoli" sheetId="6" r:id="rId2"/>
  </sheets>
  <definedNames>
    <definedName name="_xlnm.Print_Area" localSheetId="0">'Simulazione 5.3'!$A$1:$X$80</definedName>
  </definedNames>
  <calcPr calcId="125725" forceFullCalc="1"/>
</workbook>
</file>

<file path=xl/calcChain.xml><?xml version="1.0" encoding="utf-8"?>
<calcChain xmlns="http://schemas.openxmlformats.org/spreadsheetml/2006/main">
  <c r="D242" i="6"/>
  <c r="AC76" i="1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Q57" i="6"/>
  <c r="G232"/>
  <c r="D230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1"/>
  <c r="AB71"/>
  <c r="AA71"/>
  <c r="Z71"/>
  <c r="Y71"/>
  <c r="E75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2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E242" l="1"/>
  <c r="F242" s="1"/>
  <c r="X8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G242" l="1"/>
  <c r="E74" i="1"/>
  <c r="I218" i="6"/>
  <c r="I210"/>
  <c r="I194"/>
  <c r="I202"/>
  <c r="I187"/>
  <c r="I149"/>
  <c r="I175"/>
  <c r="I161"/>
  <c r="I139"/>
  <c r="I129"/>
  <c r="E82"/>
  <c r="D85"/>
  <c r="H242" l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1" i="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I242" i="6" l="1"/>
  <c r="H51"/>
  <c r="H65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J242" l="1"/>
  <c r="R1"/>
  <c r="O65"/>
  <c r="O51"/>
  <c r="I65"/>
  <c r="I51"/>
  <c r="N39"/>
  <c r="N29"/>
  <c r="H39"/>
  <c r="O19"/>
  <c r="H29"/>
  <c r="N19"/>
  <c r="I19"/>
  <c r="H19"/>
  <c r="H82"/>
  <c r="G85"/>
  <c r="C30" i="1"/>
  <c r="Q53" i="6" s="1"/>
  <c r="K242" l="1"/>
  <c r="R27"/>
  <c r="F26" i="1" s="1"/>
  <c r="E25"/>
  <c r="E26"/>
  <c r="Q52" i="6"/>
  <c r="S52" s="1"/>
  <c r="S53"/>
  <c r="I82"/>
  <c r="H85"/>
  <c r="C41" i="1"/>
  <c r="E54"/>
  <c r="L242" i="6" l="1"/>
  <c r="F25" i="1"/>
  <c r="D25" s="1"/>
  <c r="E73"/>
  <c r="Z73"/>
  <c r="V73"/>
  <c r="R73"/>
  <c r="N73"/>
  <c r="J73"/>
  <c r="F73"/>
  <c r="AA73"/>
  <c r="W73"/>
  <c r="S73"/>
  <c r="O73"/>
  <c r="K73"/>
  <c r="G73"/>
  <c r="AB73"/>
  <c r="X73"/>
  <c r="T73"/>
  <c r="P73"/>
  <c r="L73"/>
  <c r="H73"/>
  <c r="AC73"/>
  <c r="Y73"/>
  <c r="U73"/>
  <c r="Q73"/>
  <c r="M73"/>
  <c r="I73"/>
  <c r="D26"/>
  <c r="F54"/>
  <c r="S55" i="6"/>
  <c r="C33" i="1" s="1"/>
  <c r="J82" i="6"/>
  <c r="I85"/>
  <c r="M242" l="1"/>
  <c r="E55" i="1"/>
  <c r="E63" s="1"/>
  <c r="F55"/>
  <c r="F63" s="1"/>
  <c r="C35"/>
  <c r="G54"/>
  <c r="G55" s="1"/>
  <c r="G63" s="1"/>
  <c r="C34"/>
  <c r="K82" i="6"/>
  <c r="J85"/>
  <c r="N242" l="1"/>
  <c r="E56" i="1"/>
  <c r="D235" i="6" s="1"/>
  <c r="E60" i="1" s="1"/>
  <c r="H54"/>
  <c r="H55" s="1"/>
  <c r="H63" s="1"/>
  <c r="L82" i="6"/>
  <c r="K85"/>
  <c r="O242" l="1"/>
  <c r="E62" i="1"/>
  <c r="D236" i="6"/>
  <c r="E61" i="1" s="1"/>
  <c r="F56"/>
  <c r="E235" i="6" s="1"/>
  <c r="F60" i="1" s="1"/>
  <c r="I54"/>
  <c r="I55" s="1"/>
  <c r="I63" s="1"/>
  <c r="M82" i="6"/>
  <c r="L85"/>
  <c r="P242" l="1"/>
  <c r="F62" i="1"/>
  <c r="E236" i="6"/>
  <c r="F61" i="1" s="1"/>
  <c r="J54"/>
  <c r="J55" s="1"/>
  <c r="J63" s="1"/>
  <c r="G56"/>
  <c r="N82" i="6"/>
  <c r="M85"/>
  <c r="Q242" l="1"/>
  <c r="G62" i="1"/>
  <c r="F235" i="6"/>
  <c r="G60" i="1" s="1"/>
  <c r="K54"/>
  <c r="K55" s="1"/>
  <c r="K63" s="1"/>
  <c r="H56"/>
  <c r="O82" i="6"/>
  <c r="N85"/>
  <c r="R242" l="1"/>
  <c r="F236"/>
  <c r="G61" i="1" s="1"/>
  <c r="H62"/>
  <c r="G235" i="6"/>
  <c r="H60" i="1" s="1"/>
  <c r="L54"/>
  <c r="L55" s="1"/>
  <c r="L63" s="1"/>
  <c r="I56"/>
  <c r="P82" i="6"/>
  <c r="O85"/>
  <c r="S242" l="1"/>
  <c r="G236"/>
  <c r="H61" i="1" s="1"/>
  <c r="I62"/>
  <c r="H235" i="6"/>
  <c r="I60" i="1" s="1"/>
  <c r="M54"/>
  <c r="M55" s="1"/>
  <c r="M63" s="1"/>
  <c r="J56"/>
  <c r="Q82" i="6"/>
  <c r="P85"/>
  <c r="T242" l="1"/>
  <c r="H236"/>
  <c r="I61" i="1" s="1"/>
  <c r="J62"/>
  <c r="I235" i="6"/>
  <c r="J60" i="1" s="1"/>
  <c r="N54"/>
  <c r="N55" s="1"/>
  <c r="N63" s="1"/>
  <c r="K56"/>
  <c r="R82" i="6"/>
  <c r="Q85"/>
  <c r="U242" l="1"/>
  <c r="I236"/>
  <c r="J61" i="1" s="1"/>
  <c r="K62"/>
  <c r="J235" i="6"/>
  <c r="K60" i="1" s="1"/>
  <c r="O54"/>
  <c r="O55" s="1"/>
  <c r="O63" s="1"/>
  <c r="L56"/>
  <c r="S82" i="6"/>
  <c r="R85"/>
  <c r="V242" l="1"/>
  <c r="J236"/>
  <c r="K61" i="1" s="1"/>
  <c r="L62"/>
  <c r="K235" i="6"/>
  <c r="L60" i="1" s="1"/>
  <c r="P54"/>
  <c r="P55" s="1"/>
  <c r="P63" s="1"/>
  <c r="M56"/>
  <c r="T82" i="6"/>
  <c r="S85"/>
  <c r="W242" l="1"/>
  <c r="K236"/>
  <c r="L61" i="1" s="1"/>
  <c r="M62"/>
  <c r="L235" i="6"/>
  <c r="M60" i="1" s="1"/>
  <c r="Q54"/>
  <c r="Q55" s="1"/>
  <c r="Q63" s="1"/>
  <c r="N56"/>
  <c r="U82" i="6"/>
  <c r="T85"/>
  <c r="X242" l="1"/>
  <c r="L236"/>
  <c r="M61" i="1" s="1"/>
  <c r="N62"/>
  <c r="M235" i="6"/>
  <c r="N60" i="1" s="1"/>
  <c r="R54"/>
  <c r="R55" s="1"/>
  <c r="R63" s="1"/>
  <c r="O56"/>
  <c r="V82" i="6"/>
  <c r="U85"/>
  <c r="Y242" l="1"/>
  <c r="M236"/>
  <c r="N61" i="1" s="1"/>
  <c r="O62"/>
  <c r="N235" i="6"/>
  <c r="O60" i="1" s="1"/>
  <c r="S54"/>
  <c r="S55" s="1"/>
  <c r="S63" s="1"/>
  <c r="P56"/>
  <c r="W82" i="6"/>
  <c r="V85"/>
  <c r="Z242" l="1"/>
  <c r="N236"/>
  <c r="O61" i="1" s="1"/>
  <c r="P62"/>
  <c r="O235" i="6"/>
  <c r="P60" i="1" s="1"/>
  <c r="W85" i="6"/>
  <c r="X82"/>
  <c r="T54" i="1"/>
  <c r="T55" s="1"/>
  <c r="T63" s="1"/>
  <c r="Q56"/>
  <c r="AA242" i="6" l="1"/>
  <c r="O236"/>
  <c r="P61" i="1" s="1"/>
  <c r="Q62"/>
  <c r="P235" i="6"/>
  <c r="Q60" i="1" s="1"/>
  <c r="X85" i="6"/>
  <c r="Y82"/>
  <c r="U54" i="1"/>
  <c r="U55" s="1"/>
  <c r="U63" s="1"/>
  <c r="R56"/>
  <c r="AB242" i="6" l="1"/>
  <c r="P236"/>
  <c r="Q61" i="1" s="1"/>
  <c r="R62"/>
  <c r="Q235" i="6"/>
  <c r="R60" i="1" s="1"/>
  <c r="Y85" i="6"/>
  <c r="Z82"/>
  <c r="V54" i="1"/>
  <c r="V55" s="1"/>
  <c r="V63" s="1"/>
  <c r="S56"/>
  <c r="S59"/>
  <c r="Q236" i="6" l="1"/>
  <c r="R61" i="1" s="1"/>
  <c r="S62"/>
  <c r="R235" i="6"/>
  <c r="S60" i="1" s="1"/>
  <c r="T59"/>
  <c r="E59"/>
  <c r="F59"/>
  <c r="G59"/>
  <c r="H59"/>
  <c r="I59"/>
  <c r="J59"/>
  <c r="K59"/>
  <c r="L59"/>
  <c r="M59"/>
  <c r="N59"/>
  <c r="O59"/>
  <c r="P59"/>
  <c r="Q59"/>
  <c r="R59"/>
  <c r="G58"/>
  <c r="H58"/>
  <c r="I58"/>
  <c r="J58"/>
  <c r="K58"/>
  <c r="L58"/>
  <c r="M58"/>
  <c r="N58"/>
  <c r="O58"/>
  <c r="P58"/>
  <c r="Q58"/>
  <c r="R58"/>
  <c r="S58"/>
  <c r="E58"/>
  <c r="F58"/>
  <c r="Z85" i="6"/>
  <c r="AA82"/>
  <c r="W54" i="1"/>
  <c r="W55" s="1"/>
  <c r="W63" s="1"/>
  <c r="T56"/>
  <c r="R236" i="6" l="1"/>
  <c r="S61" i="1" s="1"/>
  <c r="S235" i="6"/>
  <c r="T60" i="1" s="1"/>
  <c r="T58"/>
  <c r="T62"/>
  <c r="U59"/>
  <c r="AA85" i="6"/>
  <c r="AB82"/>
  <c r="AB85" s="1"/>
  <c r="X54" i="1"/>
  <c r="U56"/>
  <c r="T235" i="6" s="1"/>
  <c r="U60" i="1" s="1"/>
  <c r="E64"/>
  <c r="F64"/>
  <c r="I64"/>
  <c r="O64"/>
  <c r="L64"/>
  <c r="G64"/>
  <c r="R64"/>
  <c r="Q64"/>
  <c r="J64"/>
  <c r="P64"/>
  <c r="K64"/>
  <c r="H64"/>
  <c r="N64"/>
  <c r="M64"/>
  <c r="Y54" l="1"/>
  <c r="X55"/>
  <c r="X63" s="1"/>
  <c r="S64"/>
  <c r="S236" i="6"/>
  <c r="T61" i="1" s="1"/>
  <c r="T236" i="6"/>
  <c r="U61" i="1" s="1"/>
  <c r="U58"/>
  <c r="U62"/>
  <c r="V59"/>
  <c r="V56"/>
  <c r="Z54" l="1"/>
  <c r="Z55" s="1"/>
  <c r="Z63" s="1"/>
  <c r="Y55"/>
  <c r="Y63" s="1"/>
  <c r="T64"/>
  <c r="U235" i="6"/>
  <c r="V60" i="1" s="1"/>
  <c r="V58"/>
  <c r="V62"/>
  <c r="W59"/>
  <c r="U64"/>
  <c r="W56"/>
  <c r="AA54" l="1"/>
  <c r="U236" i="6"/>
  <c r="V61" i="1" s="1"/>
  <c r="V235" i="6"/>
  <c r="W60" i="1" s="1"/>
  <c r="W58"/>
  <c r="W62"/>
  <c r="X59"/>
  <c r="X56"/>
  <c r="D88" i="6"/>
  <c r="E66" i="1" s="1"/>
  <c r="D67" i="6" s="1"/>
  <c r="AB54" i="1" l="1"/>
  <c r="AA55"/>
  <c r="AA63" s="1"/>
  <c r="V64"/>
  <c r="V236" i="6"/>
  <c r="W61" i="1" s="1"/>
  <c r="W235" i="6"/>
  <c r="X60" i="1" s="1"/>
  <c r="X58"/>
  <c r="X62"/>
  <c r="Y56"/>
  <c r="X235" i="6" s="1"/>
  <c r="Y60" i="1" s="1"/>
  <c r="E88" i="6"/>
  <c r="F66" i="1" s="1"/>
  <c r="E67" i="6" s="1"/>
  <c r="F88"/>
  <c r="G66" i="1" s="1"/>
  <c r="F67" i="6" s="1"/>
  <c r="AC54" i="1" l="1"/>
  <c r="AC55" s="1"/>
  <c r="AC63" s="1"/>
  <c r="AB55"/>
  <c r="AB63" s="1"/>
  <c r="W64"/>
  <c r="W236" i="6"/>
  <c r="X61" i="1" s="1"/>
  <c r="Y62"/>
  <c r="X236" i="6"/>
  <c r="Y61" i="1" s="1"/>
  <c r="Z56"/>
  <c r="F67"/>
  <c r="F69" s="1"/>
  <c r="G67"/>
  <c r="G88" i="6"/>
  <c r="H66" i="1" s="1"/>
  <c r="G67" i="6" s="1"/>
  <c r="E67" i="1"/>
  <c r="X64" l="1"/>
  <c r="Y64"/>
  <c r="Z62"/>
  <c r="Y235" i="6"/>
  <c r="Z60" i="1" s="1"/>
  <c r="AA56"/>
  <c r="F70"/>
  <c r="E92" i="6"/>
  <c r="E94" s="1"/>
  <c r="E95" s="1"/>
  <c r="G69" i="1"/>
  <c r="G70"/>
  <c r="E70"/>
  <c r="E69"/>
  <c r="F92" i="6"/>
  <c r="F103" s="1"/>
  <c r="F104" s="1"/>
  <c r="D92"/>
  <c r="D106" s="1"/>
  <c r="H67" i="1"/>
  <c r="H88" i="6"/>
  <c r="I66" i="1" s="1"/>
  <c r="H67" i="6" s="1"/>
  <c r="Y236" l="1"/>
  <c r="AA62" i="1"/>
  <c r="Z235" i="6"/>
  <c r="AA60" i="1" s="1"/>
  <c r="AB56"/>
  <c r="E106" i="6"/>
  <c r="E107" s="1"/>
  <c r="E97"/>
  <c r="E98" s="1"/>
  <c r="E100"/>
  <c r="E101" s="1"/>
  <c r="E103"/>
  <c r="E104" s="1"/>
  <c r="H69" i="1"/>
  <c r="H70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7" i="1"/>
  <c r="I88" i="6"/>
  <c r="J66" i="1" s="1"/>
  <c r="I67" i="6" s="1"/>
  <c r="Z61" i="1" l="1"/>
  <c r="Z64" s="1"/>
  <c r="Z236" i="6"/>
  <c r="AB62" i="1"/>
  <c r="AA235" i="6"/>
  <c r="AB60" i="1" s="1"/>
  <c r="AC56"/>
  <c r="AB235" i="6" s="1"/>
  <c r="AC60" i="1" s="1"/>
  <c r="E110" i="6"/>
  <c r="F68" i="1" s="1"/>
  <c r="F77" s="1"/>
  <c r="I70"/>
  <c r="I69"/>
  <c r="F110" i="6"/>
  <c r="G68" i="1" s="1"/>
  <c r="G106" i="6"/>
  <c r="G100"/>
  <c r="G101" s="1"/>
  <c r="G94"/>
  <c r="G95" s="1"/>
  <c r="G103"/>
  <c r="G104" s="1"/>
  <c r="G97"/>
  <c r="G98" s="1"/>
  <c r="H92"/>
  <c r="J67" i="1"/>
  <c r="J88" i="6"/>
  <c r="K66" i="1" s="1"/>
  <c r="J67" i="6" s="1"/>
  <c r="D107"/>
  <c r="D110" s="1"/>
  <c r="E68" i="1" s="1"/>
  <c r="E77" s="1"/>
  <c r="AA61" l="1"/>
  <c r="AA64" s="1"/>
  <c r="AA236" i="6"/>
  <c r="AC62" i="1"/>
  <c r="AB236" i="6"/>
  <c r="AC61" i="1" s="1"/>
  <c r="J69"/>
  <c r="J70"/>
  <c r="G77"/>
  <c r="E80"/>
  <c r="G107" i="6"/>
  <c r="G110" s="1"/>
  <c r="H68" i="1" s="1"/>
  <c r="K67"/>
  <c r="K88" i="6"/>
  <c r="L66" i="1" s="1"/>
  <c r="K67" i="6" s="1"/>
  <c r="H106"/>
  <c r="H94"/>
  <c r="H95" s="1"/>
  <c r="H100"/>
  <c r="H101" s="1"/>
  <c r="H97"/>
  <c r="H98" s="1"/>
  <c r="H103"/>
  <c r="H104" s="1"/>
  <c r="I92"/>
  <c r="AB61" i="1" l="1"/>
  <c r="AB64" s="1"/>
  <c r="AC64"/>
  <c r="K70"/>
  <c r="K69"/>
  <c r="H77"/>
  <c r="C114" i="6"/>
  <c r="F80" i="1"/>
  <c r="D114" i="6" s="1"/>
  <c r="H107"/>
  <c r="H110" s="1"/>
  <c r="I68" i="1" s="1"/>
  <c r="J92" i="6"/>
  <c r="I94"/>
  <c r="I95" s="1"/>
  <c r="I97"/>
  <c r="I98" s="1"/>
  <c r="I100"/>
  <c r="I101" s="1"/>
  <c r="I106"/>
  <c r="I107" s="1"/>
  <c r="I103"/>
  <c r="I104" s="1"/>
  <c r="L67" i="1"/>
  <c r="L88" i="6"/>
  <c r="M66" i="1" s="1"/>
  <c r="L67" i="6" s="1"/>
  <c r="L69" i="1" l="1"/>
  <c r="L70"/>
  <c r="I77"/>
  <c r="G80"/>
  <c r="I110" i="6"/>
  <c r="J68" i="1" s="1"/>
  <c r="M67"/>
  <c r="M88" i="6"/>
  <c r="N66" i="1" s="1"/>
  <c r="M67" i="6" s="1"/>
  <c r="J94"/>
  <c r="J95" s="1"/>
  <c r="J97"/>
  <c r="J98" s="1"/>
  <c r="J106"/>
  <c r="J103"/>
  <c r="J104" s="1"/>
  <c r="J100"/>
  <c r="J101" s="1"/>
  <c r="K92"/>
  <c r="E114" l="1"/>
  <c r="M70" i="1"/>
  <c r="M69"/>
  <c r="H80"/>
  <c r="J77"/>
  <c r="L92" i="6"/>
  <c r="N67" i="1"/>
  <c r="N88" i="6"/>
  <c r="O66" i="1" s="1"/>
  <c r="N67" i="6" s="1"/>
  <c r="K106"/>
  <c r="K94"/>
  <c r="K95" s="1"/>
  <c r="K100"/>
  <c r="K101" s="1"/>
  <c r="K97"/>
  <c r="K98" s="1"/>
  <c r="K103"/>
  <c r="K104" s="1"/>
  <c r="J107"/>
  <c r="J110" s="1"/>
  <c r="K68" i="1" s="1"/>
  <c r="F114" i="6" l="1"/>
  <c r="N69" i="1"/>
  <c r="N70"/>
  <c r="I80"/>
  <c r="K77"/>
  <c r="K107" i="6"/>
  <c r="K110" s="1"/>
  <c r="L68" i="1" s="1"/>
  <c r="L106" i="6"/>
  <c r="L103"/>
  <c r="L104" s="1"/>
  <c r="L94"/>
  <c r="L95" s="1"/>
  <c r="L100"/>
  <c r="L101" s="1"/>
  <c r="L97"/>
  <c r="L98" s="1"/>
  <c r="M92"/>
  <c r="O67" i="1"/>
  <c r="O88" i="6"/>
  <c r="P66" i="1" s="1"/>
  <c r="O67" i="6" s="1"/>
  <c r="G114" l="1"/>
  <c r="O69" i="1"/>
  <c r="O70"/>
  <c r="J80"/>
  <c r="L77"/>
  <c r="L107" i="6"/>
  <c r="L110" s="1"/>
  <c r="M68" i="1" s="1"/>
  <c r="N92" i="6"/>
  <c r="P67" i="1"/>
  <c r="P88" i="6"/>
  <c r="Q66" i="1" s="1"/>
  <c r="P67" i="6" s="1"/>
  <c r="M100"/>
  <c r="M101" s="1"/>
  <c r="M103"/>
  <c r="M104" s="1"/>
  <c r="M94"/>
  <c r="M95" s="1"/>
  <c r="M106"/>
  <c r="M97"/>
  <c r="M98" s="1"/>
  <c r="H114" l="1"/>
  <c r="P69" i="1"/>
  <c r="P70"/>
  <c r="K80"/>
  <c r="M77"/>
  <c r="M107" i="6"/>
  <c r="M110" s="1"/>
  <c r="N68" i="1" s="1"/>
  <c r="Q67"/>
  <c r="Q88" i="6"/>
  <c r="R66" i="1" s="1"/>
  <c r="Q67" i="6" s="1"/>
  <c r="N106"/>
  <c r="N100"/>
  <c r="N101" s="1"/>
  <c r="N97"/>
  <c r="N98" s="1"/>
  <c r="N103"/>
  <c r="N104" s="1"/>
  <c r="N94"/>
  <c r="N95" s="1"/>
  <c r="O92"/>
  <c r="I114" l="1"/>
  <c r="Q70" i="1"/>
  <c r="Q69"/>
  <c r="L80"/>
  <c r="M80" s="1"/>
  <c r="N77"/>
  <c r="N107" i="6"/>
  <c r="N110" s="1"/>
  <c r="O68" i="1" s="1"/>
  <c r="O103" i="6"/>
  <c r="O104" s="1"/>
  <c r="O106"/>
  <c r="O107" s="1"/>
  <c r="O94"/>
  <c r="O95" s="1"/>
  <c r="O100"/>
  <c r="O101" s="1"/>
  <c r="O97"/>
  <c r="O98" s="1"/>
  <c r="P92"/>
  <c r="R67" i="1"/>
  <c r="R88" i="6"/>
  <c r="S66" i="1" s="1"/>
  <c r="R67" i="6" s="1"/>
  <c r="R70" i="1" l="1"/>
  <c r="R69"/>
  <c r="J114" i="6"/>
  <c r="O77" i="1"/>
  <c r="N80"/>
  <c r="K114" i="6"/>
  <c r="Q92"/>
  <c r="S67" i="1"/>
  <c r="S88" i="6"/>
  <c r="T66" i="1" s="1"/>
  <c r="S67" i="6" s="1"/>
  <c r="P106"/>
  <c r="P107" s="1"/>
  <c r="P97"/>
  <c r="P98" s="1"/>
  <c r="P94"/>
  <c r="P95" s="1"/>
  <c r="P100"/>
  <c r="P101" s="1"/>
  <c r="P103"/>
  <c r="P104" s="1"/>
  <c r="O110"/>
  <c r="P68" i="1" s="1"/>
  <c r="S69" l="1"/>
  <c r="S70"/>
  <c r="P77"/>
  <c r="O80"/>
  <c r="L114" i="6"/>
  <c r="P110"/>
  <c r="Q68" i="1" s="1"/>
  <c r="Q106" i="6"/>
  <c r="Q107" s="1"/>
  <c r="Q100"/>
  <c r="Q101" s="1"/>
  <c r="Q94"/>
  <c r="Q95" s="1"/>
  <c r="Q97"/>
  <c r="Q98" s="1"/>
  <c r="Q103"/>
  <c r="Q104" s="1"/>
  <c r="R92"/>
  <c r="T88"/>
  <c r="U66" i="1" s="1"/>
  <c r="T67" i="6" s="1"/>
  <c r="T67" i="1"/>
  <c r="T70" l="1"/>
  <c r="T69"/>
  <c r="Q77"/>
  <c r="P80"/>
  <c r="M114" i="6"/>
  <c r="S92"/>
  <c r="R106"/>
  <c r="R107" s="1"/>
  <c r="R103"/>
  <c r="R104" s="1"/>
  <c r="R94"/>
  <c r="R95" s="1"/>
  <c r="R97"/>
  <c r="R98" s="1"/>
  <c r="R100"/>
  <c r="R101" s="1"/>
  <c r="U67" i="1"/>
  <c r="U88" i="6"/>
  <c r="V66" i="1" s="1"/>
  <c r="U67" i="6" s="1"/>
  <c r="Q110"/>
  <c r="R68" i="1" s="1"/>
  <c r="U69" l="1"/>
  <c r="U70"/>
  <c r="R77"/>
  <c r="Q80"/>
  <c r="N114" i="6"/>
  <c r="S106"/>
  <c r="S107" s="1"/>
  <c r="S97"/>
  <c r="S98" s="1"/>
  <c r="S94"/>
  <c r="S95" s="1"/>
  <c r="S103"/>
  <c r="S104" s="1"/>
  <c r="S100"/>
  <c r="S101" s="1"/>
  <c r="V67" i="1"/>
  <c r="V88" i="6"/>
  <c r="W66" i="1" s="1"/>
  <c r="V67" i="6" s="1"/>
  <c r="T92"/>
  <c r="R110"/>
  <c r="S68" i="1" s="1"/>
  <c r="V69" l="1"/>
  <c r="V70"/>
  <c r="S77"/>
  <c r="R80"/>
  <c r="O114" i="6"/>
  <c r="S110"/>
  <c r="T68" i="1" s="1"/>
  <c r="U92" i="6"/>
  <c r="W67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6" i="1" l="1"/>
  <c r="X67" i="6" s="1"/>
  <c r="W69" i="1"/>
  <c r="W70"/>
  <c r="X66"/>
  <c r="W67" i="6" s="1"/>
  <c r="T77" i="1"/>
  <c r="S80"/>
  <c r="P114" i="6"/>
  <c r="U106"/>
  <c r="U107" s="1"/>
  <c r="U97"/>
  <c r="U98" s="1"/>
  <c r="U94"/>
  <c r="U95" s="1"/>
  <c r="U103"/>
  <c r="U104" s="1"/>
  <c r="U100"/>
  <c r="U101" s="1"/>
  <c r="V92"/>
  <c r="T110"/>
  <c r="U68" i="1" s="1"/>
  <c r="Y67" l="1"/>
  <c r="Y69" s="1"/>
  <c r="X67"/>
  <c r="X69" s="1"/>
  <c r="Z66"/>
  <c r="Y67" i="6" s="1"/>
  <c r="U77" i="1"/>
  <c r="T80"/>
  <c r="Q114" i="6"/>
  <c r="V106"/>
  <c r="V107" s="1"/>
  <c r="V100"/>
  <c r="V101" s="1"/>
  <c r="V97"/>
  <c r="V98" s="1"/>
  <c r="V94"/>
  <c r="V95" s="1"/>
  <c r="V103"/>
  <c r="V104" s="1"/>
  <c r="U110"/>
  <c r="V68" i="1" s="1"/>
  <c r="W92" i="6" l="1"/>
  <c r="W97" s="1"/>
  <c r="W98" s="1"/>
  <c r="X70" i="1"/>
  <c r="Y70"/>
  <c r="X92" i="6"/>
  <c r="X97" s="1"/>
  <c r="X98" s="1"/>
  <c r="Z67" i="1"/>
  <c r="Z69" s="1"/>
  <c r="AA66"/>
  <c r="Z67" i="6" s="1"/>
  <c r="V77" i="1"/>
  <c r="U80"/>
  <c r="R114" i="6"/>
  <c r="V110"/>
  <c r="W68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70" i="1"/>
  <c r="AA67"/>
  <c r="W100" i="6"/>
  <c r="W101" s="1"/>
  <c r="X106"/>
  <c r="X107" s="1"/>
  <c r="W94"/>
  <c r="W95" s="1"/>
  <c r="AB66" i="1"/>
  <c r="AA67" i="6" s="1"/>
  <c r="AC66" i="1"/>
  <c r="AB67" i="6" s="1"/>
  <c r="W77" i="1"/>
  <c r="V80"/>
  <c r="S114" i="6"/>
  <c r="AA70" i="1" l="1"/>
  <c r="AA69"/>
  <c r="X110" i="6"/>
  <c r="Y68" i="1" s="1"/>
  <c r="Y77" s="1"/>
  <c r="Y103" i="6"/>
  <c r="Y104" s="1"/>
  <c r="Y94"/>
  <c r="Y95" s="1"/>
  <c r="W110"/>
  <c r="X68" i="1" s="1"/>
  <c r="X77" s="1"/>
  <c r="Y97" i="6"/>
  <c r="Y98" s="1"/>
  <c r="Y100"/>
  <c r="Y101" s="1"/>
  <c r="AB67" i="1"/>
  <c r="AB69" s="1"/>
  <c r="Z92" i="6"/>
  <c r="Z103" s="1"/>
  <c r="Z104" s="1"/>
  <c r="AC67" i="1"/>
  <c r="AC69" s="1"/>
  <c r="W80"/>
  <c r="T114" i="6"/>
  <c r="Z106" l="1"/>
  <c r="Z107" s="1"/>
  <c r="Z97"/>
  <c r="Z98" s="1"/>
  <c r="Y110"/>
  <c r="Z68" i="1" s="1"/>
  <c r="Z77" s="1"/>
  <c r="Z94" i="6"/>
  <c r="Z95" s="1"/>
  <c r="Z100"/>
  <c r="Z101" s="1"/>
  <c r="AA92"/>
  <c r="AA106" s="1"/>
  <c r="AA107" s="1"/>
  <c r="AB70" i="1"/>
  <c r="AC70"/>
  <c r="AB92" i="6"/>
  <c r="AB103" s="1"/>
  <c r="AB104" s="1"/>
  <c r="X80" i="1"/>
  <c r="U114" i="6"/>
  <c r="Z110" l="1"/>
  <c r="AA68" i="1" s="1"/>
  <c r="AA77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80" i="1"/>
  <c r="Z80" s="1"/>
  <c r="I39"/>
  <c r="V114" i="6"/>
  <c r="AA80" i="1" l="1"/>
  <c r="AB110" i="6"/>
  <c r="AC68" i="1" s="1"/>
  <c r="AC77" s="1"/>
  <c r="AA110" i="6"/>
  <c r="AB68" i="1" s="1"/>
  <c r="AB77" s="1"/>
  <c r="AB80" l="1"/>
  <c r="AC80" s="1"/>
  <c r="I40" s="1"/>
</calcChain>
</file>

<file path=xl/sharedStrings.xml><?xml version="1.0" encoding="utf-8"?>
<sst xmlns="http://schemas.openxmlformats.org/spreadsheetml/2006/main" count="390" uniqueCount="178">
  <si>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</si>
  <si>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</si>
  <si>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</si>
  <si>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</si>
  <si>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</si>
  <si>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</si>
  <si>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</si>
  <si>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</si>
  <si>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</si>
  <si>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</si>
  <si>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</si>
  <si>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</si>
  <si>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</si>
  <si>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</si>
  <si>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</si>
  <si>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</si>
  <si>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</si>
  <si>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</si>
  <si>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</si>
  <si>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</si>
  <si>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</si>
  <si>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</si>
  <si>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</si>
  <si>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</si>
  <si>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</si>
  <si>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</si>
  <si>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</si>
  <si>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</si>
  <si>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</si>
  <si>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</si>
  <si>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</si>
  <si>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</si>
  <si>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</si>
  <si>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</si>
  <si>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</si>
  <si>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</si>
  <si>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</si>
  <si>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</si>
  <si>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</si>
  <si>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</si>
  <si>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</si>
  <si>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</si>
  <si>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</si>
  <si>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</si>
  <si>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</si>
  <si>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</si>
  <si>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</si>
  <si>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</si>
  <si>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</si>
  <si>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</si>
  <si>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</si>
  <si>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</si>
  <si>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</si>
  <si>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</si>
  <si>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</si>
  <si>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</si>
  <si>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</si>
  <si>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</si>
  <si>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</si>
  <si>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</si>
  <si>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</si>
  <si>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</si>
  <si>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</si>
  <si>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</si>
  <si>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</si>
  <si>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</si>
  <si>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</si>
  <si>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</si>
  <si>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</si>
  <si>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</si>
  <si>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</si>
  <si>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</si>
  <si>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</si>
  <si>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</si>
  <si>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</si>
  <si>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</si>
  <si>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</si>
  <si>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</si>
  <si>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</si>
  <si>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</si>
  <si>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</si>
  <si>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</si>
  <si>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</si>
  <si>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</si>
  <si>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</si>
  <si>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</si>
  <si>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</si>
  <si>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</si>
  <si>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</si>
  <si>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</si>
  <si>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</si>
  <si>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</si>
  <si>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</si>
  <si>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</si>
  <si>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</si>
  <si>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</si>
  <si>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</si>
  <si>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</si>
  <si>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</si>
  <si>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</si>
  <si>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</si>
  <si>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</si>
  <si>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</si>
  <si>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</si>
  <si>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</si>
  <si>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</si>
  <si>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</si>
  <si>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</si>
  <si>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</si>
  <si>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</si>
  <si>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</si>
  <si>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</si>
  <si>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</si>
  <si>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</si>
  <si>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</si>
  <si>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</si>
  <si>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</si>
  <si>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</si>
  <si>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</si>
  <si>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</si>
  <si>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</si>
  <si>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</si>
  <si>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</si>
  <si>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</si>
  <si>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</si>
  <si>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</si>
  <si>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</si>
  <si>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</si>
  <si>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</si>
  <si>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</si>
  <si>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</si>
  <si>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</si>
  <si>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</si>
  <si>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</si>
  <si>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</si>
  <si>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</si>
  <si>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</si>
  <si>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</si>
  <si>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</si>
  <si>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</si>
  <si>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</si>
  <si>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</si>
  <si>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</si>
  <si>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</si>
  <si>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</si>
  <si>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</si>
  <si>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</si>
  <si>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</si>
  <si>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</si>
  <si>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</si>
  <si>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</si>
  <si>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</si>
  <si>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</si>
  <si>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</si>
  <si>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</si>
  <si>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</si>
  <si>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</si>
  <si>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</si>
  <si>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</si>
  <si>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</si>
  <si>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</si>
  <si>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</si>
  <si>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</si>
  <si>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</si>
  <si>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</si>
  <si>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</si>
  <si>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</si>
  <si>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</si>
  <si>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Scambio</t>
  </si>
  <si>
    <t>Eccedenze</t>
  </si>
  <si>
    <t>Contributo Scambio Sul Posto,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</si>
  <si>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</si>
  <si>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</si>
  <si>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</si>
  <si>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</si>
  <si>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</si>
  <si>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</si>
  <si>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PV-Xcel 5.3 -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</si>
</sst>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25" xfId="0" applyFont="1" applyBorder="1" applyProtection="1"/>
    <xf numFmtId="0" fontId="1" fillId="0" borderId="14" xfId="0" applyFont="1" applyBorder="1" applyProtection="1"/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57"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5.3'!$E$80:$AC$80</c:f>
              <c:numCache>
                <c:formatCode>"€"\ #,##0</c:formatCode>
                <c:ptCount val="25"/>
                <c:pt idx="0">
                  <c:v>-10928.9</c:v>
                </c:pt>
                <c:pt idx="1">
                  <c:v>-9459.7968000000001</c:v>
                </c:pt>
                <c:pt idx="2">
                  <c:v>-7995.2044288000006</c:v>
                </c:pt>
                <c:pt idx="3">
                  <c:v>-6534.6236489408011</c:v>
                </c:pt>
                <c:pt idx="4">
                  <c:v>-5077.5413705003348</c:v>
                </c:pt>
                <c:pt idx="5">
                  <c:v>-3623.4300419418328</c:v>
                </c:pt>
                <c:pt idx="6">
                  <c:v>-2171.7470170913971</c:v>
                </c:pt>
                <c:pt idx="7">
                  <c:v>-721.9338972856973</c:v>
                </c:pt>
                <c:pt idx="8">
                  <c:v>726.58415230782634</c:v>
                </c:pt>
                <c:pt idx="9">
                  <c:v>2174.3991132357264</c:v>
                </c:pt>
                <c:pt idx="10">
                  <c:v>3622.120852247222</c:v>
                </c:pt>
                <c:pt idx="11">
                  <c:v>5070.3778888488387</c:v>
                </c:pt>
                <c:pt idx="12">
                  <c:v>6519.8181930919145</c:v>
                </c:pt>
                <c:pt idx="13">
                  <c:v>7971.1100148065107</c:v>
                </c:pt>
                <c:pt idx="14">
                  <c:v>9424.9427455437726</c:v>
                </c:pt>
                <c:pt idx="15">
                  <c:v>10932.02781453922</c:v>
                </c:pt>
                <c:pt idx="16">
                  <c:v>12443.099620061923</c:v>
                </c:pt>
                <c:pt idx="17">
                  <c:v>13958.916497569064</c:v>
                </c:pt>
                <c:pt idx="18">
                  <c:v>15480.261726142147</c:v>
                </c:pt>
                <c:pt idx="19">
                  <c:v>17007.944574740122</c:v>
                </c:pt>
                <c:pt idx="20">
                  <c:v>18118.312862880197</c:v>
                </c:pt>
                <c:pt idx="21">
                  <c:v>19239.640069078952</c:v>
                </c:pt>
                <c:pt idx="22">
                  <c:v>20372.793848379941</c:v>
                </c:pt>
                <c:pt idx="23">
                  <c:v>21518.672698343562</c:v>
                </c:pt>
                <c:pt idx="24">
                  <c:v>22678.207227520907</c:v>
                </c:pt>
              </c:numCache>
            </c:numRef>
          </c:val>
        </c:ser>
        <c:axId val="61412864"/>
        <c:axId val="61414400"/>
      </c:barChart>
      <c:catAx>
        <c:axId val="61412864"/>
        <c:scaling>
          <c:orientation val="minMax"/>
        </c:scaling>
        <c:axPos val="b"/>
        <c:tickLblPos val="low"/>
        <c:crossAx val="61414400"/>
        <c:crosses val="autoZero"/>
        <c:auto val="1"/>
        <c:lblAlgn val="ctr"/>
        <c:lblOffset val="100"/>
      </c:catAx>
      <c:valAx>
        <c:axId val="61414400"/>
        <c:scaling>
          <c:orientation val="minMax"/>
        </c:scaling>
        <c:axPos val="l"/>
        <c:majorGridlines/>
        <c:numFmt formatCode="&quot;€&quot;\ #,##0" sourceLinked="1"/>
        <c:tickLblPos val="nextTo"/>
        <c:crossAx val="61412864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47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6"/>
  <sheetViews>
    <sheetView tabSelected="1" zoomScale="93" zoomScaleNormal="93" workbookViewId="0">
      <selection sqref="A1:G1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179" t="s">
        <v>177</v>
      </c>
      <c r="B1" s="180"/>
      <c r="C1" s="180"/>
      <c r="D1" s="180"/>
      <c r="E1" s="180"/>
      <c r="F1" s="180"/>
      <c r="G1" s="181"/>
    </row>
    <row r="2" spans="1:17" ht="13.5" customHeight="1" thickBot="1"/>
    <row r="3" spans="1:17" ht="16.5" thickBot="1">
      <c r="A3" s="8" t="s">
        <v>137</v>
      </c>
      <c r="B3" s="9"/>
      <c r="C3" s="125">
        <v>6</v>
      </c>
      <c r="D3" s="10" t="s">
        <v>12</v>
      </c>
      <c r="H3" s="172"/>
      <c r="I3" s="173" t="s">
        <v>64</v>
      </c>
      <c r="J3" s="173"/>
      <c r="K3" s="174"/>
      <c r="L3" s="173" t="s">
        <v>65</v>
      </c>
      <c r="M3" s="140"/>
      <c r="N3" s="171"/>
      <c r="O3" s="21"/>
      <c r="P3" s="21"/>
      <c r="Q3" s="21"/>
    </row>
    <row r="4" spans="1:17" ht="16.5" thickBot="1">
      <c r="A4" s="8" t="s">
        <v>136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7"/>
      <c r="K5" s="97"/>
      <c r="L5" s="97"/>
    </row>
    <row r="6" spans="1:17" ht="15.75" customHeight="1">
      <c r="A6" s="13"/>
      <c r="B6" s="14"/>
      <c r="C6" s="14"/>
      <c r="D6" s="14"/>
      <c r="E6" s="15"/>
      <c r="F6" s="16"/>
      <c r="H6" s="98"/>
      <c r="I6" s="99"/>
      <c r="J6" s="100"/>
      <c r="K6" s="100"/>
      <c r="L6" s="101"/>
      <c r="M6" s="15"/>
      <c r="N6" s="15"/>
      <c r="O6" s="16"/>
    </row>
    <row r="7" spans="1:17" ht="15.75">
      <c r="A7" s="185" t="s">
        <v>14</v>
      </c>
      <c r="B7" s="186"/>
      <c r="C7" s="186"/>
      <c r="D7" s="11"/>
      <c r="E7" s="2"/>
      <c r="F7" s="7"/>
      <c r="H7" s="22" t="s">
        <v>92</v>
      </c>
      <c r="I7" s="2"/>
      <c r="J7" s="2"/>
      <c r="K7" s="2"/>
      <c r="L7" s="2"/>
      <c r="M7" s="2"/>
      <c r="N7" s="2"/>
      <c r="O7" s="7"/>
    </row>
    <row r="8" spans="1:17" ht="15.75">
      <c r="A8" s="128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85" t="s">
        <v>13</v>
      </c>
      <c r="B9" s="186"/>
      <c r="C9" s="186"/>
      <c r="D9" s="11"/>
      <c r="E9" s="2"/>
      <c r="F9" s="7"/>
      <c r="H9" s="22" t="s">
        <v>86</v>
      </c>
      <c r="I9" s="2"/>
      <c r="J9" s="2"/>
      <c r="K9" s="132">
        <v>9</v>
      </c>
      <c r="L9" s="2" t="s">
        <v>61</v>
      </c>
      <c r="M9" s="2"/>
      <c r="N9" s="12"/>
      <c r="O9" s="7"/>
    </row>
    <row r="10" spans="1:17" ht="15.75">
      <c r="A10" s="128"/>
      <c r="B10" s="11"/>
      <c r="C10" s="11"/>
      <c r="D10" s="11"/>
      <c r="E10" s="2"/>
      <c r="F10" s="7"/>
      <c r="H10" s="22"/>
      <c r="I10" s="2"/>
      <c r="J10" s="2"/>
      <c r="K10" s="105"/>
      <c r="L10" s="2"/>
      <c r="M10" s="2"/>
      <c r="N10" s="2"/>
      <c r="O10" s="7"/>
    </row>
    <row r="11" spans="1:17" ht="15.75">
      <c r="A11" s="128" t="s">
        <v>122</v>
      </c>
      <c r="B11" s="11"/>
      <c r="C11" s="11"/>
      <c r="D11" s="11"/>
      <c r="E11" s="2"/>
      <c r="F11" s="7"/>
      <c r="H11" s="22"/>
      <c r="I11" s="2"/>
      <c r="J11" s="2"/>
      <c r="K11" s="105"/>
      <c r="L11" s="2"/>
      <c r="M11" s="2"/>
      <c r="N11" s="2"/>
      <c r="O11" s="7"/>
    </row>
    <row r="12" spans="1:17" ht="15.75">
      <c r="A12" s="128"/>
      <c r="B12" s="11"/>
      <c r="C12" s="11"/>
      <c r="D12" s="11"/>
      <c r="E12" s="2"/>
      <c r="F12" s="7"/>
      <c r="H12" s="22"/>
      <c r="I12" s="2"/>
      <c r="J12" s="2"/>
      <c r="K12" s="105"/>
      <c r="L12" s="2"/>
      <c r="M12" s="2"/>
      <c r="N12" s="2"/>
      <c r="O12" s="7"/>
    </row>
    <row r="13" spans="1:17" ht="15.75">
      <c r="A13" s="185" t="s">
        <v>121</v>
      </c>
      <c r="B13" s="186"/>
      <c r="C13" s="186"/>
      <c r="D13" s="11"/>
      <c r="E13" s="2"/>
      <c r="F13" s="7"/>
      <c r="H13" s="22" t="s">
        <v>97</v>
      </c>
      <c r="I13" s="2"/>
      <c r="J13" s="2"/>
      <c r="K13" s="133"/>
      <c r="L13" s="116">
        <v>23</v>
      </c>
      <c r="M13" s="2" t="s">
        <v>61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98</v>
      </c>
      <c r="I14" s="2"/>
      <c r="J14" s="2"/>
      <c r="K14" s="133"/>
      <c r="L14" s="116">
        <v>27</v>
      </c>
      <c r="M14" s="2" t="s">
        <v>61</v>
      </c>
      <c r="N14" s="2"/>
      <c r="O14" s="7"/>
    </row>
    <row r="15" spans="1:17" ht="15.75">
      <c r="A15" s="185" t="s">
        <v>76</v>
      </c>
      <c r="B15" s="186"/>
      <c r="C15" s="186"/>
      <c r="D15" s="11"/>
      <c r="E15" s="2"/>
      <c r="F15" s="7"/>
      <c r="H15" s="22" t="s">
        <v>99</v>
      </c>
      <c r="I15" s="2"/>
      <c r="J15" s="2"/>
      <c r="K15" s="133"/>
      <c r="L15" s="116">
        <v>38</v>
      </c>
      <c r="M15" s="2" t="s">
        <v>61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100</v>
      </c>
      <c r="I16" s="2"/>
      <c r="J16" s="2"/>
      <c r="K16" s="133"/>
      <c r="L16" s="116">
        <v>41</v>
      </c>
      <c r="M16" s="2" t="s">
        <v>61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101</v>
      </c>
      <c r="I17" s="2"/>
      <c r="J17" s="2"/>
      <c r="K17" s="133"/>
      <c r="L17" s="116">
        <v>43</v>
      </c>
      <c r="M17" s="2" t="s">
        <v>61</v>
      </c>
      <c r="N17" s="2"/>
      <c r="O17" s="7"/>
    </row>
    <row r="18" spans="1:19" ht="15.75">
      <c r="A18" s="185" t="s">
        <v>18</v>
      </c>
      <c r="B18" s="186"/>
      <c r="C18" s="186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3" t="s">
        <v>93</v>
      </c>
      <c r="I19" s="2"/>
      <c r="J19" s="2"/>
      <c r="K19" s="116">
        <v>3.9</v>
      </c>
      <c r="L19" s="2" t="s">
        <v>61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3" t="s">
        <v>115</v>
      </c>
      <c r="I21" s="2"/>
      <c r="J21" s="2"/>
      <c r="K21" s="116">
        <v>27.5</v>
      </c>
      <c r="L21" s="2" t="s">
        <v>61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20" t="s">
        <v>22</v>
      </c>
      <c r="E24" s="122" t="s">
        <v>21</v>
      </c>
      <c r="F24" s="30" t="s">
        <v>23</v>
      </c>
      <c r="H24" s="187" t="s">
        <v>96</v>
      </c>
      <c r="I24" s="188"/>
      <c r="J24" s="188"/>
      <c r="K24" s="188"/>
      <c r="L24" s="188"/>
      <c r="M24" s="188"/>
      <c r="N24" s="188"/>
      <c r="O24" s="189"/>
    </row>
    <row r="25" spans="1:19">
      <c r="A25" s="31" t="s">
        <v>19</v>
      </c>
      <c r="B25" s="32"/>
      <c r="C25" s="33"/>
      <c r="D25" s="121">
        <f>IF(Calcoli!D1&lt;6,E25+F25,0)</f>
        <v>216</v>
      </c>
      <c r="E25" s="123">
        <f>Calcoli!H19+Calcoli!H29+Calcoli!H39+Calcoli!H51+Calcoli!H65+Calcoli!N19+Calcoli!N29+Calcoli!N39+Calcoli!N51+Calcoli!N65+Calcoli!H129+Calcoli!H139+Calcoli!H149+Calcoli!H161+Calcoli!H175+Calcoli!H187+Calcoli!H194+Calcoli!H202+Calcoli!H210+Calcoli!H218</f>
        <v>196</v>
      </c>
      <c r="F25" s="34">
        <f>IF(Calcoli!$H$9&lt;3,Calcoli!$R$27,0)</f>
        <v>20</v>
      </c>
      <c r="H25" s="190"/>
      <c r="I25" s="191"/>
      <c r="J25" s="191"/>
      <c r="K25" s="191"/>
      <c r="L25" s="191"/>
      <c r="M25" s="191"/>
      <c r="N25" s="191"/>
      <c r="O25" s="192"/>
    </row>
    <row r="26" spans="1:19" ht="15.75" thickBot="1">
      <c r="A26" s="38" t="s">
        <v>20</v>
      </c>
      <c r="B26" s="39"/>
      <c r="C26" s="40"/>
      <c r="D26" s="121">
        <f>IF(Calcoli!D1&lt;6,E26+F26,0)</f>
        <v>134</v>
      </c>
      <c r="E26" s="124">
        <f>Calcoli!I19+Calcoli!I29+Calcoli!I39+Calcoli!I51+Calcoli!I65+Calcoli!O19+Calcoli!O29+Calcoli!O39+Calcoli!O51+Calcoli!O65+Calcoli!I129+Calcoli!I139+Calcoli!I149+Calcoli!I161+Calcoli!I175+Calcoli!I187+Calcoli!I194+Calcoli!I202+Calcoli!I210+Calcoli!I218</f>
        <v>114</v>
      </c>
      <c r="F26" s="41">
        <f>IF(Calcoli!$H$9&lt;3,Calcoli!$R$27,0)</f>
        <v>20</v>
      </c>
    </row>
    <row r="27" spans="1:19" ht="12.75" customHeight="1">
      <c r="A27" s="43"/>
      <c r="B27" s="2"/>
      <c r="C27" s="2"/>
      <c r="D27" s="44"/>
      <c r="E27" s="130"/>
      <c r="F27" s="130"/>
      <c r="S27" s="102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2"/>
    </row>
    <row r="29" spans="1:19" s="46" customFormat="1" ht="22.5" customHeight="1">
      <c r="A29" s="74" t="s">
        <v>36</v>
      </c>
      <c r="B29" s="134"/>
      <c r="C29" s="108">
        <v>1200</v>
      </c>
      <c r="D29" s="45" t="s">
        <v>63</v>
      </c>
      <c r="E29" s="69"/>
      <c r="F29" s="96" t="s">
        <v>25</v>
      </c>
      <c r="G29" s="95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09">
        <f>$C$3*C29</f>
        <v>7200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08">
        <v>2500</v>
      </c>
      <c r="D31" s="85" t="s">
        <v>24</v>
      </c>
      <c r="E31" s="92" t="s">
        <v>78</v>
      </c>
      <c r="F31" s="92"/>
      <c r="G31" s="92"/>
      <c r="H31" s="92"/>
      <c r="I31" s="85"/>
      <c r="J31" s="11"/>
      <c r="K31" s="77"/>
    </row>
    <row r="32" spans="1:19" s="50" customFormat="1" ht="15.75">
      <c r="A32" s="76"/>
      <c r="B32" s="11"/>
      <c r="C32" s="137"/>
      <c r="D32" s="129"/>
      <c r="E32" s="129"/>
      <c r="F32" s="129"/>
      <c r="G32" s="129"/>
      <c r="H32" s="129"/>
      <c r="I32" s="129"/>
      <c r="J32" s="11"/>
      <c r="K32" s="77"/>
    </row>
    <row r="33" spans="1:11" s="46" customFormat="1" ht="22.5" customHeight="1">
      <c r="A33" s="74" t="s">
        <v>28</v>
      </c>
      <c r="B33" s="134"/>
      <c r="C33" s="110">
        <f>Calcoli!S55</f>
        <v>1250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9">
        <f>IF(Calcoli!Q49=1,C30-C33,C30)</f>
        <v>5950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9">
        <f>IF(Calcoli!Q49=1,C31-C33,0)</f>
        <v>1250</v>
      </c>
      <c r="D35" s="85" t="s">
        <v>24</v>
      </c>
      <c r="E35" s="11"/>
      <c r="F35" s="162" t="s">
        <v>114</v>
      </c>
      <c r="G35" s="163"/>
      <c r="H35" s="164"/>
      <c r="I35" s="197">
        <f>C3*C37</f>
        <v>12000</v>
      </c>
      <c r="J35" s="198"/>
      <c r="K35" s="77"/>
    </row>
    <row r="36" spans="1:11" s="50" customFormat="1" ht="16.5" thickBot="1">
      <c r="A36" s="78"/>
      <c r="B36" s="11"/>
      <c r="C36" s="105"/>
      <c r="D36" s="85"/>
      <c r="E36" s="11"/>
      <c r="F36" s="165" t="s">
        <v>141</v>
      </c>
      <c r="G36" s="70"/>
      <c r="H36" s="160"/>
      <c r="I36" s="193">
        <f>C42+C43</f>
        <v>385</v>
      </c>
      <c r="J36" s="194"/>
      <c r="K36" s="77"/>
    </row>
    <row r="37" spans="1:11" s="50" customFormat="1" ht="16.5" thickBot="1">
      <c r="A37" s="78" t="s">
        <v>31</v>
      </c>
      <c r="B37" s="11"/>
      <c r="C37" s="127">
        <v>2000</v>
      </c>
      <c r="D37" s="85" t="s">
        <v>32</v>
      </c>
      <c r="E37" s="161"/>
      <c r="F37" s="168"/>
      <c r="G37" s="166" t="s">
        <v>22</v>
      </c>
      <c r="H37" s="167"/>
      <c r="I37" s="195">
        <f>SUM(I35:J36)</f>
        <v>12385</v>
      </c>
      <c r="J37" s="196"/>
      <c r="K37" s="77"/>
    </row>
    <row r="38" spans="1:11" s="50" customFormat="1" ht="16.5" thickBot="1">
      <c r="A38" s="78" t="s">
        <v>33</v>
      </c>
      <c r="B38" s="11"/>
      <c r="C38" s="108">
        <v>150</v>
      </c>
      <c r="D38" s="85" t="s">
        <v>32</v>
      </c>
      <c r="E38" s="161"/>
      <c r="F38" s="114"/>
      <c r="G38" s="113"/>
      <c r="H38" s="184"/>
      <c r="I38" s="184"/>
      <c r="J38" s="113"/>
      <c r="K38" s="77"/>
    </row>
    <row r="39" spans="1:11" s="50" customFormat="1" ht="15.75">
      <c r="A39" s="78" t="s">
        <v>83</v>
      </c>
      <c r="B39" s="11"/>
      <c r="C39" s="111">
        <v>1</v>
      </c>
      <c r="D39" s="85" t="s">
        <v>61</v>
      </c>
      <c r="E39" s="114"/>
      <c r="F39" s="162" t="s">
        <v>156</v>
      </c>
      <c r="G39" s="169"/>
      <c r="H39" s="169"/>
      <c r="I39" s="197">
        <f>X80</f>
        <v>17007.944574740122</v>
      </c>
      <c r="J39" s="199"/>
      <c r="K39" s="77"/>
    </row>
    <row r="40" spans="1:11" s="50" customFormat="1" ht="16.5" thickBot="1">
      <c r="A40" s="78" t="s">
        <v>79</v>
      </c>
      <c r="B40" s="11"/>
      <c r="C40" s="109">
        <f>IF(C3&lt;20,C3*3,60+((C3-20)*2))</f>
        <v>18</v>
      </c>
      <c r="D40" s="85" t="s">
        <v>32</v>
      </c>
      <c r="E40" s="11"/>
      <c r="F40" s="170" t="s">
        <v>157</v>
      </c>
      <c r="G40" s="166"/>
      <c r="H40" s="166"/>
      <c r="I40" s="182">
        <f>AC80</f>
        <v>22678.207227520907</v>
      </c>
      <c r="J40" s="183"/>
      <c r="K40" s="77"/>
    </row>
    <row r="41" spans="1:11" s="50" customFormat="1" ht="15.75">
      <c r="A41" s="78" t="s">
        <v>80</v>
      </c>
      <c r="B41" s="11"/>
      <c r="C41" s="135">
        <f>0.0005*C30</f>
        <v>3.6</v>
      </c>
      <c r="D41" s="85" t="s">
        <v>32</v>
      </c>
      <c r="E41" s="114"/>
      <c r="F41" s="114"/>
      <c r="G41" s="114"/>
      <c r="H41" s="114"/>
      <c r="I41" s="114"/>
      <c r="J41" s="11"/>
      <c r="K41" s="77"/>
    </row>
    <row r="42" spans="1:11" s="50" customFormat="1" ht="15.75">
      <c r="A42" s="78" t="s">
        <v>139</v>
      </c>
      <c r="B42" s="11"/>
      <c r="C42" s="109">
        <f>IF(Calcoli!O77&lt;0,Calcoli!P77,(C3-C4)*55+Calcoli!P77)</f>
        <v>285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140</v>
      </c>
      <c r="B43" s="11"/>
      <c r="C43" s="108">
        <v>100</v>
      </c>
      <c r="D43" s="85" t="s">
        <v>32</v>
      </c>
      <c r="E43" s="55" t="s">
        <v>166</v>
      </c>
      <c r="F43" s="11"/>
      <c r="G43" s="11"/>
      <c r="H43" s="11"/>
      <c r="I43" s="11"/>
      <c r="J43" s="11"/>
      <c r="K43" s="77"/>
    </row>
    <row r="44" spans="1:11" s="50" customFormat="1" ht="15.75">
      <c r="A44" s="177" t="s">
        <v>174</v>
      </c>
      <c r="B44" s="178"/>
      <c r="C44" s="108">
        <v>50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9" t="s">
        <v>173</v>
      </c>
      <c r="B45" s="82"/>
      <c r="C45" s="108">
        <v>15</v>
      </c>
      <c r="D45" s="85" t="s">
        <v>175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34</v>
      </c>
      <c r="B46" s="11"/>
      <c r="C46" s="112">
        <v>0.18</v>
      </c>
      <c r="D46" s="85" t="s">
        <v>32</v>
      </c>
      <c r="E46" s="11"/>
      <c r="F46" s="11"/>
      <c r="G46" s="11"/>
      <c r="H46" s="11"/>
      <c r="I46" s="11"/>
      <c r="J46" s="11"/>
      <c r="K46" s="77"/>
    </row>
    <row r="47" spans="1:11" s="50" customFormat="1" ht="15.75">
      <c r="A47" s="78" t="s">
        <v>159</v>
      </c>
      <c r="B47" s="11"/>
      <c r="C47" s="112">
        <v>0.11</v>
      </c>
      <c r="D47" s="85" t="s">
        <v>32</v>
      </c>
      <c r="E47" s="55" t="s">
        <v>160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82</v>
      </c>
      <c r="B48" s="11"/>
      <c r="C48" s="111">
        <v>0.9</v>
      </c>
      <c r="D48" s="85" t="s">
        <v>61</v>
      </c>
      <c r="E48" s="55" t="s">
        <v>113</v>
      </c>
      <c r="F48" s="11"/>
      <c r="G48" s="11"/>
      <c r="H48" s="11"/>
      <c r="I48" s="11"/>
      <c r="J48" s="11"/>
      <c r="K48" s="77"/>
    </row>
    <row r="49" spans="1:29" s="50" customFormat="1" ht="15.75">
      <c r="A49" s="78" t="s">
        <v>62</v>
      </c>
      <c r="B49" s="11"/>
      <c r="C49" s="111">
        <v>4</v>
      </c>
      <c r="D49" s="85" t="s">
        <v>61</v>
      </c>
      <c r="E49" s="55" t="s">
        <v>84</v>
      </c>
      <c r="F49" s="11"/>
      <c r="G49" s="11"/>
      <c r="H49" s="11"/>
      <c r="I49" s="11"/>
      <c r="J49" s="11"/>
      <c r="K49" s="77"/>
    </row>
    <row r="50" spans="1:29" s="50" customFormat="1" ht="9" customHeight="1">
      <c r="A50" s="79"/>
      <c r="B50" s="80"/>
      <c r="C50" s="136"/>
      <c r="D50" s="81"/>
      <c r="E50" s="93"/>
      <c r="F50" s="80"/>
      <c r="G50" s="80"/>
      <c r="H50" s="80"/>
      <c r="I50" s="80"/>
      <c r="J50" s="80"/>
      <c r="K50" s="82"/>
    </row>
    <row r="52" spans="1:29">
      <c r="A52" s="60"/>
      <c r="B52" s="60"/>
      <c r="C52" s="60"/>
      <c r="D52" s="60"/>
      <c r="E52" s="131" t="s">
        <v>40</v>
      </c>
      <c r="F52" s="131" t="s">
        <v>42</v>
      </c>
      <c r="G52" s="131" t="s">
        <v>43</v>
      </c>
      <c r="H52" s="131" t="s">
        <v>44</v>
      </c>
      <c r="I52" s="131" t="s">
        <v>45</v>
      </c>
      <c r="J52" s="131" t="s">
        <v>46</v>
      </c>
      <c r="K52" s="131" t="s">
        <v>47</v>
      </c>
      <c r="L52" s="131" t="s">
        <v>48</v>
      </c>
      <c r="M52" s="131" t="s">
        <v>49</v>
      </c>
      <c r="N52" s="131" t="s">
        <v>50</v>
      </c>
      <c r="O52" s="131" t="s">
        <v>51</v>
      </c>
      <c r="P52" s="131" t="s">
        <v>52</v>
      </c>
      <c r="Q52" s="131" t="s">
        <v>53</v>
      </c>
      <c r="R52" s="131" t="s">
        <v>54</v>
      </c>
      <c r="S52" s="131" t="s">
        <v>55</v>
      </c>
      <c r="T52" s="131" t="s">
        <v>56</v>
      </c>
      <c r="U52" s="131" t="s">
        <v>57</v>
      </c>
      <c r="V52" s="131" t="s">
        <v>58</v>
      </c>
      <c r="W52" s="131" t="s">
        <v>59</v>
      </c>
      <c r="X52" s="131" t="s">
        <v>60</v>
      </c>
      <c r="Y52" s="159" t="s">
        <v>151</v>
      </c>
      <c r="Z52" s="159" t="s">
        <v>152</v>
      </c>
      <c r="AA52" s="159" t="s">
        <v>153</v>
      </c>
      <c r="AB52" s="159" t="s">
        <v>154</v>
      </c>
      <c r="AC52" s="159" t="s">
        <v>155</v>
      </c>
    </row>
    <row r="53" spans="1:29">
      <c r="A53" s="60"/>
      <c r="B53" s="60"/>
      <c r="C53" s="60"/>
      <c r="D53" s="60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ht="15.75">
      <c r="A54" s="62" t="s">
        <v>102</v>
      </c>
      <c r="B54" s="60"/>
      <c r="C54" s="60"/>
      <c r="D54" s="60"/>
      <c r="E54" s="149">
        <f>C30</f>
        <v>7200</v>
      </c>
      <c r="F54" s="149">
        <f t="shared" ref="F54" si="0">E54/100*(100-$C$48)</f>
        <v>7135.2</v>
      </c>
      <c r="G54" s="149">
        <f t="shared" ref="G54" si="1">F54/100*(100-$C$48)</f>
        <v>7070.9831999999997</v>
      </c>
      <c r="H54" s="149">
        <f t="shared" ref="H54" si="2">G54/100*(100-$C$48)</f>
        <v>7007.3443511999985</v>
      </c>
      <c r="I54" s="149">
        <f t="shared" ref="I54" si="3">H54/100*(100-$C$48)</f>
        <v>6944.2782520391975</v>
      </c>
      <c r="J54" s="149">
        <f t="shared" ref="J54" si="4">I54/100*(100-$C$48)</f>
        <v>6881.7797477708436</v>
      </c>
      <c r="K54" s="149">
        <f t="shared" ref="K54" si="5">J54/100*(100-$C$48)</f>
        <v>6819.8437300409059</v>
      </c>
      <c r="L54" s="149">
        <f t="shared" ref="L54" si="6">K54/100*(100-$C$48)</f>
        <v>6758.4651364705369</v>
      </c>
      <c r="M54" s="149">
        <f t="shared" ref="M54" si="7">L54/100*(100-$C$48)</f>
        <v>6697.6389502423017</v>
      </c>
      <c r="N54" s="149">
        <f t="shared" ref="N54" si="8">M54/100*(100-$C$48)</f>
        <v>6637.3601996901207</v>
      </c>
      <c r="O54" s="149">
        <f t="shared" ref="O54" si="9">N54/100*(100-$C$48)</f>
        <v>6577.6239578929089</v>
      </c>
      <c r="P54" s="149">
        <f t="shared" ref="P54" si="10">O54/100*(100-$C$48)</f>
        <v>6518.425342271873</v>
      </c>
      <c r="Q54" s="149">
        <f t="shared" ref="Q54" si="11">P54/100*(100-$C$48)</f>
        <v>6459.7595141914253</v>
      </c>
      <c r="R54" s="149">
        <f t="shared" ref="R54" si="12">Q54/100*(100-$C$48)</f>
        <v>6401.6216785637025</v>
      </c>
      <c r="S54" s="149">
        <f t="shared" ref="S54" si="13">R54/100*(100-$C$48)</f>
        <v>6344.0070834566286</v>
      </c>
      <c r="T54" s="149">
        <f t="shared" ref="T54" si="14">S54/100*(100-$C$48)</f>
        <v>6286.9110197055188</v>
      </c>
      <c r="U54" s="149">
        <f t="shared" ref="U54" si="15">T54/100*(100-$C$48)</f>
        <v>6230.3288205281688</v>
      </c>
      <c r="V54" s="149">
        <f t="shared" ref="V54" si="16">U54/100*(100-$C$48)</f>
        <v>6174.2558611434151</v>
      </c>
      <c r="W54" s="149">
        <f t="shared" ref="W54" si="17">V54/100*(100-$C$48)</f>
        <v>6118.6875583931242</v>
      </c>
      <c r="X54" s="149">
        <f t="shared" ref="X54" si="18">W54/100*(100-$C$48)</f>
        <v>6063.6193703675854</v>
      </c>
      <c r="Y54" s="149">
        <f t="shared" ref="Y54" si="19">X54/100*(100-$C$48)</f>
        <v>6009.0467960342767</v>
      </c>
      <c r="Z54" s="149">
        <f t="shared" ref="Z54" si="20">Y54/100*(100-$C$48)</f>
        <v>5954.9653748699675</v>
      </c>
      <c r="AA54" s="149">
        <f t="shared" ref="AA54" si="21">Z54/100*(100-$C$48)</f>
        <v>5901.3706864961378</v>
      </c>
      <c r="AB54" s="149">
        <f t="shared" ref="AB54" si="22">AA54/100*(100-$C$48)</f>
        <v>5848.258350317672</v>
      </c>
      <c r="AC54" s="149">
        <f t="shared" ref="AC54" si="23">AB54/100*(100-$C$48)</f>
        <v>5795.6240251648123</v>
      </c>
    </row>
    <row r="55" spans="1:29" ht="15.75">
      <c r="A55" s="62" t="s">
        <v>28</v>
      </c>
      <c r="B55" s="60"/>
      <c r="C55" s="60"/>
      <c r="D55" s="60"/>
      <c r="E55" s="149">
        <f t="shared" ref="E55:AC55" si="24">IF($C$33&lt;=E54,$C$33,E54)</f>
        <v>1250</v>
      </c>
      <c r="F55" s="149">
        <f t="shared" si="24"/>
        <v>1250</v>
      </c>
      <c r="G55" s="149">
        <f t="shared" si="24"/>
        <v>1250</v>
      </c>
      <c r="H55" s="149">
        <f t="shared" si="24"/>
        <v>1250</v>
      </c>
      <c r="I55" s="149">
        <f t="shared" si="24"/>
        <v>1250</v>
      </c>
      <c r="J55" s="149">
        <f t="shared" si="24"/>
        <v>1250</v>
      </c>
      <c r="K55" s="149">
        <f t="shared" si="24"/>
        <v>1250</v>
      </c>
      <c r="L55" s="149">
        <f t="shared" si="24"/>
        <v>1250</v>
      </c>
      <c r="M55" s="149">
        <f t="shared" si="24"/>
        <v>1250</v>
      </c>
      <c r="N55" s="149">
        <f t="shared" si="24"/>
        <v>1250</v>
      </c>
      <c r="O55" s="149">
        <f t="shared" si="24"/>
        <v>1250</v>
      </c>
      <c r="P55" s="149">
        <f t="shared" si="24"/>
        <v>1250</v>
      </c>
      <c r="Q55" s="149">
        <f t="shared" si="24"/>
        <v>1250</v>
      </c>
      <c r="R55" s="149">
        <f t="shared" si="24"/>
        <v>1250</v>
      </c>
      <c r="S55" s="149">
        <f t="shared" si="24"/>
        <v>1250</v>
      </c>
      <c r="T55" s="149">
        <f t="shared" si="24"/>
        <v>1250</v>
      </c>
      <c r="U55" s="149">
        <f t="shared" si="24"/>
        <v>1250</v>
      </c>
      <c r="V55" s="149">
        <f t="shared" si="24"/>
        <v>1250</v>
      </c>
      <c r="W55" s="149">
        <f t="shared" si="24"/>
        <v>1250</v>
      </c>
      <c r="X55" s="149">
        <f t="shared" si="24"/>
        <v>1250</v>
      </c>
      <c r="Y55" s="149">
        <f t="shared" si="24"/>
        <v>1250</v>
      </c>
      <c r="Z55" s="149">
        <f t="shared" si="24"/>
        <v>1250</v>
      </c>
      <c r="AA55" s="149">
        <f t="shared" si="24"/>
        <v>1250</v>
      </c>
      <c r="AB55" s="149">
        <f t="shared" si="24"/>
        <v>1250</v>
      </c>
      <c r="AC55" s="149">
        <f t="shared" si="24"/>
        <v>1250</v>
      </c>
    </row>
    <row r="56" spans="1:29" ht="15.75">
      <c r="A56" s="62" t="s">
        <v>38</v>
      </c>
      <c r="B56" s="60"/>
      <c r="C56" s="60"/>
      <c r="D56" s="60"/>
      <c r="E56" s="149">
        <f>IF((E54-E55)&lt;0,0,E54-E55)</f>
        <v>5950</v>
      </c>
      <c r="F56" s="149">
        <f t="shared" ref="F56:X56" si="25">IF((F54-F55)&lt;0,0,F54-F55)</f>
        <v>5885.2</v>
      </c>
      <c r="G56" s="149">
        <f t="shared" si="25"/>
        <v>5820.9831999999997</v>
      </c>
      <c r="H56" s="149">
        <f t="shared" si="25"/>
        <v>5757.3443511999985</v>
      </c>
      <c r="I56" s="149">
        <f t="shared" si="25"/>
        <v>5694.2782520391975</v>
      </c>
      <c r="J56" s="149">
        <f t="shared" si="25"/>
        <v>5631.7797477708436</v>
      </c>
      <c r="K56" s="149">
        <f t="shared" si="25"/>
        <v>5569.8437300409059</v>
      </c>
      <c r="L56" s="149">
        <f t="shared" si="25"/>
        <v>5508.4651364705369</v>
      </c>
      <c r="M56" s="149">
        <f t="shared" si="25"/>
        <v>5447.6389502423017</v>
      </c>
      <c r="N56" s="149">
        <f t="shared" si="25"/>
        <v>5387.3601996901207</v>
      </c>
      <c r="O56" s="149">
        <f t="shared" si="25"/>
        <v>5327.6239578929089</v>
      </c>
      <c r="P56" s="149">
        <f t="shared" si="25"/>
        <v>5268.425342271873</v>
      </c>
      <c r="Q56" s="149">
        <f t="shared" si="25"/>
        <v>5209.7595141914253</v>
      </c>
      <c r="R56" s="149">
        <f t="shared" si="25"/>
        <v>5151.6216785637025</v>
      </c>
      <c r="S56" s="149">
        <f t="shared" si="25"/>
        <v>5094.0070834566286</v>
      </c>
      <c r="T56" s="149">
        <f t="shared" si="25"/>
        <v>5036.9110197055188</v>
      </c>
      <c r="U56" s="149">
        <f t="shared" si="25"/>
        <v>4980.3288205281688</v>
      </c>
      <c r="V56" s="149">
        <f t="shared" si="25"/>
        <v>4924.2558611434151</v>
      </c>
      <c r="W56" s="149">
        <f t="shared" si="25"/>
        <v>4868.6875583931242</v>
      </c>
      <c r="X56" s="149">
        <f t="shared" si="25"/>
        <v>4813.6193703675854</v>
      </c>
      <c r="Y56" s="149">
        <f t="shared" ref="Y56:AC56" si="26">IF((Y54-Y55)&lt;0,0,Y54-Y55)</f>
        <v>4759.0467960342767</v>
      </c>
      <c r="Z56" s="149">
        <f t="shared" si="26"/>
        <v>4704.9653748699675</v>
      </c>
      <c r="AA56" s="149">
        <f t="shared" si="26"/>
        <v>4651.3706864961378</v>
      </c>
      <c r="AB56" s="149">
        <f t="shared" si="26"/>
        <v>4598.258350317672</v>
      </c>
      <c r="AC56" s="149">
        <f t="shared" si="26"/>
        <v>4545.6240251648123</v>
      </c>
    </row>
    <row r="57" spans="1:29" ht="11.25" customHeight="1">
      <c r="A57" s="62"/>
      <c r="B57" s="60"/>
      <c r="C57" s="60"/>
      <c r="D57" s="60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spans="1:29" ht="15.75">
      <c r="A58" s="151" t="s">
        <v>142</v>
      </c>
      <c r="B58" s="152"/>
      <c r="C58" s="152"/>
      <c r="D58" s="60"/>
      <c r="E58" s="144">
        <f>IF(Calcoli!$D$1&lt;6,E56*$D$25/1000,0)</f>
        <v>1285.2</v>
      </c>
      <c r="F58" s="144">
        <f>IF(Calcoli!$D$1&lt;6,F56*$D$25/1000,0)</f>
        <v>1271.2031999999999</v>
      </c>
      <c r="G58" s="144">
        <f>IF(Calcoli!$D$1&lt;6,G56*$D$25/1000,0)</f>
        <v>1257.3323711999999</v>
      </c>
      <c r="H58" s="144">
        <f>IF(Calcoli!$D$1&lt;6,H56*$D$25/1000,0)</f>
        <v>1243.5863798591997</v>
      </c>
      <c r="I58" s="144">
        <f>IF(Calcoli!$D$1&lt;6,I56*$D$25/1000,0)</f>
        <v>1229.9641024404666</v>
      </c>
      <c r="J58" s="144">
        <f>IF(Calcoli!$D$1&lt;6,J56*$D$25/1000,0)</f>
        <v>1216.4644255185021</v>
      </c>
      <c r="K58" s="144">
        <f>IF(Calcoli!$D$1&lt;6,K56*$D$25/1000,0)</f>
        <v>1203.0862456888356</v>
      </c>
      <c r="L58" s="144">
        <f>IF(Calcoli!$D$1&lt;6,L56*$D$25/1000,0)</f>
        <v>1189.828469477636</v>
      </c>
      <c r="M58" s="144">
        <f>IF(Calcoli!$D$1&lt;6,M56*$D$25/1000,0)</f>
        <v>1176.6900132523372</v>
      </c>
      <c r="N58" s="144">
        <f>IF(Calcoli!$D$1&lt;6,N56*$D$25/1000,0)</f>
        <v>1163.6698031330661</v>
      </c>
      <c r="O58" s="144">
        <f>IF(Calcoli!$D$1&lt;6,O56*$D$25/1000,0)</f>
        <v>1150.7667749048683</v>
      </c>
      <c r="P58" s="144">
        <f>IF(Calcoli!$D$1&lt;6,P56*$D$25/1000,0)</f>
        <v>1137.9798739307246</v>
      </c>
      <c r="Q58" s="144">
        <f>IF(Calcoli!$D$1&lt;6,Q56*$D$25/1000,0)</f>
        <v>1125.3080550653478</v>
      </c>
      <c r="R58" s="144">
        <f>IF(Calcoli!$D$1&lt;6,R56*$D$25/1000,0)</f>
        <v>1112.7502825697597</v>
      </c>
      <c r="S58" s="144">
        <f>IF(Calcoli!$D$1&lt;6,S56*$D$25/1000,0)</f>
        <v>1100.3055300266319</v>
      </c>
      <c r="T58" s="144">
        <f>IF(Calcoli!$D$1&lt;6,T56*$D$25/1000,0)</f>
        <v>1087.9727802563921</v>
      </c>
      <c r="U58" s="144">
        <f>IF(Calcoli!$D$1&lt;6,U56*$D$25/1000,0)</f>
        <v>1075.7510252340844</v>
      </c>
      <c r="V58" s="144">
        <f>IF(Calcoli!$D$1&lt;6,V56*$D$25/1000,0)</f>
        <v>1063.6392660069778</v>
      </c>
      <c r="W58" s="144">
        <f>IF(Calcoli!$D$1&lt;6,W56*$D$25/1000,0)</f>
        <v>1051.6365126129149</v>
      </c>
      <c r="X58" s="144">
        <f>IF(Calcoli!$D$1&lt;6,X56*$D$25/1000,0)</f>
        <v>1039.7417839993984</v>
      </c>
      <c r="Y58" s="144">
        <v>0</v>
      </c>
      <c r="Z58" s="144">
        <v>0</v>
      </c>
      <c r="AA58" s="144">
        <v>0</v>
      </c>
      <c r="AB58" s="144">
        <v>0</v>
      </c>
      <c r="AC58" s="144">
        <v>0</v>
      </c>
    </row>
    <row r="59" spans="1:29" ht="15.75">
      <c r="A59" s="151" t="s">
        <v>143</v>
      </c>
      <c r="B59" s="152"/>
      <c r="C59" s="152"/>
      <c r="D59" s="60"/>
      <c r="E59" s="144">
        <f>IF(Calcoli!$D$1&lt;6,E55*$D$26/1000,0)</f>
        <v>167.5</v>
      </c>
      <c r="F59" s="144">
        <f>IF(Calcoli!$D$1&lt;6,F55*$D$26/1000,0)</f>
        <v>167.5</v>
      </c>
      <c r="G59" s="144">
        <f>IF(Calcoli!$D$1&lt;6,G55*$D$26/1000,0)</f>
        <v>167.5</v>
      </c>
      <c r="H59" s="144">
        <f>IF(Calcoli!$D$1&lt;6,H55*$D$26/1000,0)</f>
        <v>167.5</v>
      </c>
      <c r="I59" s="144">
        <f>IF(Calcoli!$D$1&lt;6,I55*$D$26/1000,0)</f>
        <v>167.5</v>
      </c>
      <c r="J59" s="144">
        <f>IF(Calcoli!$D$1&lt;6,J55*$D$26/1000,0)</f>
        <v>167.5</v>
      </c>
      <c r="K59" s="144">
        <f>IF(Calcoli!$D$1&lt;6,K55*$D$26/1000,0)</f>
        <v>167.5</v>
      </c>
      <c r="L59" s="144">
        <f>IF(Calcoli!$D$1&lt;6,L55*$D$26/1000,0)</f>
        <v>167.5</v>
      </c>
      <c r="M59" s="144">
        <f>IF(Calcoli!$D$1&lt;6,M55*$D$26/1000,0)</f>
        <v>167.5</v>
      </c>
      <c r="N59" s="144">
        <f>IF(Calcoli!$D$1&lt;6,N55*$D$26/1000,0)</f>
        <v>167.5</v>
      </c>
      <c r="O59" s="144">
        <f>IF(Calcoli!$D$1&lt;6,O55*$D$26/1000,0)</f>
        <v>167.5</v>
      </c>
      <c r="P59" s="144">
        <f>IF(Calcoli!$D$1&lt;6,P55*$D$26/1000,0)</f>
        <v>167.5</v>
      </c>
      <c r="Q59" s="144">
        <f>IF(Calcoli!$D$1&lt;6,Q55*$D$26/1000,0)</f>
        <v>167.5</v>
      </c>
      <c r="R59" s="144">
        <f>IF(Calcoli!$D$1&lt;6,R55*$D$26/1000,0)</f>
        <v>167.5</v>
      </c>
      <c r="S59" s="144">
        <f>IF(Calcoli!$D$1&lt;6,S55*$D$26/1000,0)</f>
        <v>167.5</v>
      </c>
      <c r="T59" s="144">
        <f>IF(Calcoli!$D$1&lt;6,T55*$D$26/1000,0)</f>
        <v>167.5</v>
      </c>
      <c r="U59" s="144">
        <f>IF(Calcoli!$D$1&lt;6,U55*$D$26/1000,0)</f>
        <v>167.5</v>
      </c>
      <c r="V59" s="144">
        <f>IF(Calcoli!$D$1&lt;6,V55*$D$26/1000,0)</f>
        <v>167.5</v>
      </c>
      <c r="W59" s="144">
        <f>IF(Calcoli!$D$1&lt;6,W55*$D$26/1000,0)</f>
        <v>167.5</v>
      </c>
      <c r="X59" s="144">
        <f>IF(Calcoli!$D$1&lt;6,X55*$D$26/1000,0)</f>
        <v>167.5</v>
      </c>
      <c r="Y59" s="144">
        <v>0</v>
      </c>
      <c r="Z59" s="144">
        <v>0</v>
      </c>
      <c r="AA59" s="144">
        <v>0</v>
      </c>
      <c r="AB59" s="144">
        <v>0</v>
      </c>
      <c r="AC59" s="144">
        <v>0</v>
      </c>
    </row>
    <row r="60" spans="1:29" ht="15.75">
      <c r="A60" s="151" t="s">
        <v>170</v>
      </c>
      <c r="B60" s="152"/>
      <c r="C60" s="152"/>
      <c r="D60" s="60"/>
      <c r="E60" s="144">
        <f>IF(Calcoli!$D$1=6,Calcoli!D235*Calcoli!$G$232,0)</f>
        <v>0</v>
      </c>
      <c r="F60" s="144">
        <f>IF(Calcoli!$D$1=6,Calcoli!E235*Calcoli!$G$232,0)</f>
        <v>0</v>
      </c>
      <c r="G60" s="144">
        <f>IF(Calcoli!$D$1=6,Calcoli!F235*Calcoli!$G$232,0)</f>
        <v>0</v>
      </c>
      <c r="H60" s="144">
        <f>IF(Calcoli!$D$1=6,Calcoli!G235*Calcoli!$G$232,0)</f>
        <v>0</v>
      </c>
      <c r="I60" s="144">
        <f>IF(Calcoli!$D$1=6,Calcoli!H235*Calcoli!$G$232,0)</f>
        <v>0</v>
      </c>
      <c r="J60" s="144">
        <f>IF(Calcoli!$D$1=6,Calcoli!I235*Calcoli!$G$232,0)</f>
        <v>0</v>
      </c>
      <c r="K60" s="144">
        <f>IF(Calcoli!$D$1=6,Calcoli!J235*Calcoli!$G$232,0)</f>
        <v>0</v>
      </c>
      <c r="L60" s="144">
        <f>IF(Calcoli!$D$1=6,Calcoli!K235*Calcoli!$G$232,0)</f>
        <v>0</v>
      </c>
      <c r="M60" s="144">
        <f>IF(Calcoli!$D$1=6,Calcoli!L235*Calcoli!$G$232,0)</f>
        <v>0</v>
      </c>
      <c r="N60" s="144">
        <f>IF(Calcoli!$D$1=6,Calcoli!M235*Calcoli!$G$232,0)</f>
        <v>0</v>
      </c>
      <c r="O60" s="144">
        <f>IF(Calcoli!$D$1=6,Calcoli!N235*Calcoli!$G$232,0)</f>
        <v>0</v>
      </c>
      <c r="P60" s="144">
        <f>IF(Calcoli!$D$1=6,Calcoli!O235*Calcoli!$G$232,0)</f>
        <v>0</v>
      </c>
      <c r="Q60" s="144">
        <f>IF(Calcoli!$D$1=6,Calcoli!P235*Calcoli!$G$232,0)</f>
        <v>0</v>
      </c>
      <c r="R60" s="144">
        <f>IF(Calcoli!$D$1=6,Calcoli!Q235*Calcoli!$G$232,0)</f>
        <v>0</v>
      </c>
      <c r="S60" s="144">
        <f>IF(Calcoli!$D$1=6,Calcoli!R235*Calcoli!$G$232,0)</f>
        <v>0</v>
      </c>
      <c r="T60" s="144">
        <f>IF(Calcoli!$D$1=6,Calcoli!S235*Calcoli!$G$232,0)</f>
        <v>0</v>
      </c>
      <c r="U60" s="144">
        <f>IF(Calcoli!$D$1=6,Calcoli!T235*Calcoli!$G$232,0)</f>
        <v>0</v>
      </c>
      <c r="V60" s="144">
        <f>IF(Calcoli!$D$1=6,Calcoli!U235*Calcoli!$G$232,0)</f>
        <v>0</v>
      </c>
      <c r="W60" s="144">
        <f>IF(Calcoli!$D$1=6,Calcoli!V235*Calcoli!$G$232,0)</f>
        <v>0</v>
      </c>
      <c r="X60" s="144">
        <f>IF(Calcoli!$D$1=6,Calcoli!W235*Calcoli!$G$232,0)</f>
        <v>0</v>
      </c>
      <c r="Y60" s="144">
        <f>Calcoli!X235*Calcoli!$G$232</f>
        <v>202.5</v>
      </c>
      <c r="Z60" s="144">
        <f>Calcoli!Y235*Calcoli!$G$232</f>
        <v>202.5</v>
      </c>
      <c r="AA60" s="144">
        <f>Calcoli!Z235*Calcoli!$G$232</f>
        <v>202.5</v>
      </c>
      <c r="AB60" s="144">
        <f>Calcoli!AA235*Calcoli!$G$232</f>
        <v>202.5</v>
      </c>
      <c r="AC60" s="144">
        <f>Calcoli!AB235*Calcoli!$G$232</f>
        <v>202.5</v>
      </c>
    </row>
    <row r="61" spans="1:29" ht="15.75">
      <c r="A61" s="151" t="s">
        <v>171</v>
      </c>
      <c r="B61" s="152"/>
      <c r="C61" s="152"/>
      <c r="D61" s="60"/>
      <c r="E61" s="144">
        <f>IF(Calcoli!$Q$57=TRUE,Calcoli!D236*Calcoli!$G$232,0)</f>
        <v>0</v>
      </c>
      <c r="F61" s="144">
        <f>IF(Calcoli!$Q$57=TRUE,Calcoli!E236*Calcoli!$G$232,0)</f>
        <v>0</v>
      </c>
      <c r="G61" s="144">
        <f>IF(Calcoli!$Q$57=TRUE,Calcoli!F236*Calcoli!$G$232,0)</f>
        <v>0</v>
      </c>
      <c r="H61" s="144">
        <f>IF(Calcoli!$Q$57=TRUE,Calcoli!G236*Calcoli!$G$232,0)</f>
        <v>0</v>
      </c>
      <c r="I61" s="144">
        <f>IF(Calcoli!$Q$57=TRUE,Calcoli!H236*Calcoli!$G$232,0)</f>
        <v>0</v>
      </c>
      <c r="J61" s="144">
        <f>IF(Calcoli!$Q$57=TRUE,Calcoli!I236*Calcoli!$G$232,0)</f>
        <v>0</v>
      </c>
      <c r="K61" s="144">
        <f>IF(Calcoli!$Q$57=TRUE,Calcoli!J236*Calcoli!$G$232,0)</f>
        <v>0</v>
      </c>
      <c r="L61" s="144">
        <f>IF(Calcoli!$Q$57=TRUE,Calcoli!K236*Calcoli!$G$232,0)</f>
        <v>0</v>
      </c>
      <c r="M61" s="144">
        <f>IF(Calcoli!$Q$57=TRUE,Calcoli!L236*Calcoli!$G$232,0)</f>
        <v>0</v>
      </c>
      <c r="N61" s="144">
        <f>IF(Calcoli!$Q$57=TRUE,Calcoli!M236*Calcoli!$G$232,0)</f>
        <v>0</v>
      </c>
      <c r="O61" s="144">
        <f>IF(Calcoli!$Q$57=TRUE,Calcoli!N236*Calcoli!$G$232,0)</f>
        <v>0</v>
      </c>
      <c r="P61" s="144">
        <f>IF(Calcoli!$Q$57=TRUE,Calcoli!O236*Calcoli!$G$232,0)</f>
        <v>0</v>
      </c>
      <c r="Q61" s="144">
        <f>IF(Calcoli!$Q$57=TRUE,Calcoli!P236*Calcoli!$G$232,0)</f>
        <v>0</v>
      </c>
      <c r="R61" s="144">
        <f>IF(Calcoli!$Q$57=TRUE,Calcoli!Q236*Calcoli!$G$232,0)</f>
        <v>0</v>
      </c>
      <c r="S61" s="144">
        <f>IF(Calcoli!$Q$57=TRUE,Calcoli!R236*Calcoli!$G$232,0)</f>
        <v>0</v>
      </c>
      <c r="T61" s="144">
        <f>IF(Calcoli!$Q$57=TRUE,Calcoli!S236*Calcoli!$G$232,0)</f>
        <v>0</v>
      </c>
      <c r="U61" s="144">
        <f>IF(Calcoli!$Q$57=TRUE,Calcoli!T236*Calcoli!$G$232,0)</f>
        <v>0</v>
      </c>
      <c r="V61" s="144">
        <f>IF(Calcoli!$Q$57=TRUE,Calcoli!U236*Calcoli!$G$232,0)</f>
        <v>0</v>
      </c>
      <c r="W61" s="144">
        <f>IF(Calcoli!$Q$57=TRUE,Calcoli!V236*Calcoli!$G$232,0)</f>
        <v>0</v>
      </c>
      <c r="X61" s="144">
        <f>IF(Calcoli!$Q$57=TRUE,Calcoli!W236*Calcoli!$G$232,0)</f>
        <v>0</v>
      </c>
      <c r="Y61" s="144">
        <f>IF(Calcoli!$Q$49=1,Calcoli!X236*Calcoli!$G$232,0)</f>
        <v>568.46558095755279</v>
      </c>
      <c r="Z61" s="144">
        <f>IF(Calcoli!$Q$49=1,Calcoli!Y236*Calcoli!$G$232,0)</f>
        <v>559.70439072893475</v>
      </c>
      <c r="AA61" s="144">
        <f>IF(Calcoli!$Q$49=1,Calcoli!Z236*Calcoli!$G$232,0)</f>
        <v>551.02205121237432</v>
      </c>
      <c r="AB61" s="144">
        <f>IF(Calcoli!$Q$49=1,Calcoli!AA236*Calcoli!$G$232,0)</f>
        <v>542.41785275146287</v>
      </c>
      <c r="AC61" s="144">
        <f>IF(Calcoli!$Q$49=1,Calcoli!AB236*Calcoli!$G$232,0)</f>
        <v>533.89109207669958</v>
      </c>
    </row>
    <row r="62" spans="1:29" ht="15.75">
      <c r="A62" s="151" t="s">
        <v>165</v>
      </c>
      <c r="B62" s="152"/>
      <c r="C62" s="152"/>
      <c r="D62" s="60"/>
      <c r="E62" s="144">
        <f>IF(Calcoli!$D$230=TRUE,$C$47*E56,0)</f>
        <v>0</v>
      </c>
      <c r="F62" s="144">
        <f>IF(Calcoli!$D$230=TRUE,$C$47*F56,0)</f>
        <v>0</v>
      </c>
      <c r="G62" s="144">
        <f>IF(Calcoli!$D$230=TRUE,$C$47*G56,0)</f>
        <v>0</v>
      </c>
      <c r="H62" s="144">
        <f>IF(Calcoli!$D$230=TRUE,$C$47*H56,0)</f>
        <v>0</v>
      </c>
      <c r="I62" s="144">
        <f>IF(Calcoli!$D$230=TRUE,$C$47*I56,0)</f>
        <v>0</v>
      </c>
      <c r="J62" s="144">
        <f>IF(Calcoli!$D$230=TRUE,$C$47*J56,0)</f>
        <v>0</v>
      </c>
      <c r="K62" s="144">
        <f>IF(Calcoli!$D$230=TRUE,$C$47*K56,0)</f>
        <v>0</v>
      </c>
      <c r="L62" s="144">
        <f>IF(Calcoli!$D$230=TRUE,$C$47*L56,0)</f>
        <v>0</v>
      </c>
      <c r="M62" s="144">
        <f>IF(Calcoli!$D$230=TRUE,$C$47*M56,0)</f>
        <v>0</v>
      </c>
      <c r="N62" s="144">
        <f>IF(Calcoli!$D$230=TRUE,$C$47*N56,0)</f>
        <v>0</v>
      </c>
      <c r="O62" s="144">
        <f>IF(Calcoli!$D$230=TRUE,$C$47*O56,0)</f>
        <v>0</v>
      </c>
      <c r="P62" s="144">
        <f>IF(Calcoli!$D$230=TRUE,$C$47*P56,0)</f>
        <v>0</v>
      </c>
      <c r="Q62" s="144">
        <f>IF(Calcoli!$D$230=TRUE,$C$47*Q56,0)</f>
        <v>0</v>
      </c>
      <c r="R62" s="144">
        <f>IF(Calcoli!$D$230=TRUE,$C$47*R56,0)</f>
        <v>0</v>
      </c>
      <c r="S62" s="144">
        <f>IF(Calcoli!$D$230=TRUE,$C$47*S56,0)</f>
        <v>0</v>
      </c>
      <c r="T62" s="144">
        <f>IF(Calcoli!$D$230=TRUE,$C$47*T56,0)</f>
        <v>0</v>
      </c>
      <c r="U62" s="144">
        <f>IF(Calcoli!$D$230=TRUE,$C$47*U56,0)</f>
        <v>0</v>
      </c>
      <c r="V62" s="144">
        <f>IF(Calcoli!$D$230=TRUE,$C$47*V56,0)</f>
        <v>0</v>
      </c>
      <c r="W62" s="144">
        <f>IF(Calcoli!$D$230=TRUE,$C$47*W56,0)</f>
        <v>0</v>
      </c>
      <c r="X62" s="144">
        <f>IF(Calcoli!$D$230=TRUE,$C$47*X56,0)</f>
        <v>0</v>
      </c>
      <c r="Y62" s="144">
        <f>IF(Calcoli!$Q$49=2,Y56*$C$47,0)</f>
        <v>0</v>
      </c>
      <c r="Z62" s="144">
        <f>IF(Calcoli!$Q$49=2,Z56*$C$47,0)</f>
        <v>0</v>
      </c>
      <c r="AA62" s="144">
        <f>IF(Calcoli!$Q$49=2,AA56*$C$47,0)</f>
        <v>0</v>
      </c>
      <c r="AB62" s="144">
        <f>IF(Calcoli!$Q$49=2,AB56*$C$47,0)</f>
        <v>0</v>
      </c>
      <c r="AC62" s="144">
        <f>IF(Calcoli!$Q$49=2,AC56*$C$47,0)</f>
        <v>0</v>
      </c>
    </row>
    <row r="63" spans="1:29" ht="16.5" thickBot="1">
      <c r="A63" s="153" t="s">
        <v>39</v>
      </c>
      <c r="B63" s="154"/>
      <c r="C63" s="154"/>
      <c r="D63" s="60"/>
      <c r="E63" s="146">
        <f>(Calcoli!D242*E55)+(('Simulazione 5.3'!D242*E55)/100*$C$49)</f>
        <v>225</v>
      </c>
      <c r="F63" s="146">
        <f>(Calcoli!E242*F55)+(('Simulazione 5.3'!E242*F55)/100*$C$49)</f>
        <v>234</v>
      </c>
      <c r="G63" s="146">
        <f>(Calcoli!F242*G55)+(('Simulazione 5.3'!F242*G55)/100*$C$49)</f>
        <v>243.36</v>
      </c>
      <c r="H63" s="146">
        <f>(Calcoli!G242*H55)+(('Simulazione 5.3'!G242*H55)/100*$C$49)</f>
        <v>253.09439999999998</v>
      </c>
      <c r="I63" s="146">
        <f>(Calcoli!H242*I55)+(('Simulazione 5.3'!H242*I55)/100*$C$49)</f>
        <v>263.21817599999997</v>
      </c>
      <c r="J63" s="146">
        <f>(Calcoli!I242*J55)+(('Simulazione 5.3'!I242*J55)/100*$C$49)</f>
        <v>273.74690304000001</v>
      </c>
      <c r="K63" s="146">
        <f>(Calcoli!J242*K55)+(('Simulazione 5.3'!J242*K55)/100*$C$49)</f>
        <v>284.69677916159998</v>
      </c>
      <c r="L63" s="146">
        <f>(Calcoli!K242*L55)+(('Simulazione 5.3'!K242*L55)/100*$C$49)</f>
        <v>296.08465032806396</v>
      </c>
      <c r="M63" s="146">
        <f>(Calcoli!L242*M55)+(('Simulazione 5.3'!L242*M55)/100*$C$49)</f>
        <v>307.92803634118656</v>
      </c>
      <c r="N63" s="146">
        <f>(Calcoli!M242*N55)+(('Simulazione 5.3'!M242*N55)/100*$C$49)</f>
        <v>320.24515779483397</v>
      </c>
      <c r="O63" s="146">
        <f>(Calcoli!N242*O55)+(('Simulazione 5.3'!N242*O55)/100*$C$49)</f>
        <v>333.05496410662738</v>
      </c>
      <c r="P63" s="146">
        <f>(Calcoli!O242*P55)+(('Simulazione 5.3'!O242*P55)/100*$C$49)</f>
        <v>346.37716267089246</v>
      </c>
      <c r="Q63" s="146">
        <f>(Calcoli!P242*Q55)+(('Simulazione 5.3'!P242*Q55)/100*$C$49)</f>
        <v>360.23224917772814</v>
      </c>
      <c r="R63" s="146">
        <f>(Calcoli!Q242*R55)+(('Simulazione 5.3'!Q242*R55)/100*$C$49)</f>
        <v>374.64153914483722</v>
      </c>
      <c r="S63" s="146">
        <f>(Calcoli!R242*S55)+(('Simulazione 5.3'!R242*S55)/100*$C$49)</f>
        <v>389.62720071063069</v>
      </c>
      <c r="T63" s="146">
        <f>(Calcoli!S242*T55)+(('Simulazione 5.3'!S242*T55)/100*$C$49)</f>
        <v>405.21228873905591</v>
      </c>
      <c r="U63" s="146">
        <f>(Calcoli!T242*U55)+(('Simulazione 5.3'!T242*U55)/100*$C$49)</f>
        <v>421.42078028861818</v>
      </c>
      <c r="V63" s="146">
        <f>(Calcoli!U242*V55)+(('Simulazione 5.3'!U242*V55)/100*$C$49)</f>
        <v>438.27761150016289</v>
      </c>
      <c r="W63" s="146">
        <f>(Calcoli!V242*W55)+(('Simulazione 5.3'!V242*W55)/100*$C$49)</f>
        <v>455.80871596016937</v>
      </c>
      <c r="X63" s="146">
        <f>(Calcoli!W242*X55)+(('Simulazione 5.3'!W242*X55)/100*$C$49)</f>
        <v>474.04106459857621</v>
      </c>
      <c r="Y63" s="146">
        <f>(Calcoli!X242*Y55)+(('Simulazione 5.3'!X242*Y55)/100*$C$49)</f>
        <v>493.00270718251926</v>
      </c>
      <c r="Z63" s="146">
        <f>(Calcoli!Y242*Z55)+(('Simulazione 5.3'!Y242*Z55)/100*$C$49)</f>
        <v>512.72281546981992</v>
      </c>
      <c r="AA63" s="146">
        <f>(Calcoli!Z242*AA55)+(('Simulazione 5.3'!Z242*AA55)/100*$C$49)</f>
        <v>533.23172808861284</v>
      </c>
      <c r="AB63" s="146">
        <f>(Calcoli!AA242*AB55)+(('Simulazione 5.3'!AA242*AB55)/100*$C$49)</f>
        <v>554.5609972121573</v>
      </c>
      <c r="AC63" s="146">
        <f>(Calcoli!AB242*AC55)+(('Simulazione 5.3'!AB242*AC55)/100*$C$49)</f>
        <v>576.74343710064352</v>
      </c>
    </row>
    <row r="64" spans="1:29" ht="16.5" thickBot="1">
      <c r="A64" s="62" t="s">
        <v>148</v>
      </c>
      <c r="B64" s="60"/>
      <c r="C64" s="60"/>
      <c r="D64" s="60"/>
      <c r="E64" s="141">
        <f>SUM(E58:E63)</f>
        <v>1677.7</v>
      </c>
      <c r="F64" s="142">
        <f t="shared" ref="F64:X64" si="27">SUM(F58:F63)</f>
        <v>1672.7031999999999</v>
      </c>
      <c r="G64" s="142">
        <f t="shared" si="27"/>
        <v>1668.1923711999998</v>
      </c>
      <c r="H64" s="142">
        <f t="shared" si="27"/>
        <v>1664.1807798591997</v>
      </c>
      <c r="I64" s="142">
        <f t="shared" si="27"/>
        <v>1660.6822784404667</v>
      </c>
      <c r="J64" s="142">
        <f t="shared" si="27"/>
        <v>1657.7113285585021</v>
      </c>
      <c r="K64" s="142">
        <f t="shared" si="27"/>
        <v>1655.2830248504356</v>
      </c>
      <c r="L64" s="142">
        <f t="shared" si="27"/>
        <v>1653.4131198056998</v>
      </c>
      <c r="M64" s="142">
        <f t="shared" si="27"/>
        <v>1652.1180495935237</v>
      </c>
      <c r="N64" s="142">
        <f t="shared" si="27"/>
        <v>1651.4149609279002</v>
      </c>
      <c r="O64" s="142">
        <f t="shared" si="27"/>
        <v>1651.3217390114955</v>
      </c>
      <c r="P64" s="142">
        <f t="shared" si="27"/>
        <v>1651.857036601617</v>
      </c>
      <c r="Q64" s="142">
        <f t="shared" si="27"/>
        <v>1653.040304243076</v>
      </c>
      <c r="R64" s="142">
        <f t="shared" si="27"/>
        <v>1654.891821714597</v>
      </c>
      <c r="S64" s="142">
        <f t="shared" si="27"/>
        <v>1657.4327307372625</v>
      </c>
      <c r="T64" s="142">
        <f t="shared" si="27"/>
        <v>1660.6850689954481</v>
      </c>
      <c r="U64" s="142">
        <f t="shared" si="27"/>
        <v>1664.6718055227025</v>
      </c>
      <c r="V64" s="142">
        <f t="shared" si="27"/>
        <v>1669.4168775071407</v>
      </c>
      <c r="W64" s="142">
        <f t="shared" si="27"/>
        <v>1674.9452285730843</v>
      </c>
      <c r="X64" s="143">
        <f t="shared" si="27"/>
        <v>1681.2828485979746</v>
      </c>
      <c r="Y64" s="143">
        <f t="shared" ref="Y64:AC64" si="28">SUM(Y58:Y63)</f>
        <v>1263.968288140072</v>
      </c>
      <c r="Z64" s="143">
        <f t="shared" si="28"/>
        <v>1274.9272061987547</v>
      </c>
      <c r="AA64" s="143">
        <f t="shared" si="28"/>
        <v>1286.7537793009872</v>
      </c>
      <c r="AB64" s="143">
        <f t="shared" si="28"/>
        <v>1299.4788499636202</v>
      </c>
      <c r="AC64" s="143">
        <f t="shared" si="28"/>
        <v>1313.1345291773432</v>
      </c>
    </row>
    <row r="65" spans="1:29" ht="11.25" customHeight="1">
      <c r="A65" s="62"/>
      <c r="B65" s="60"/>
      <c r="C65" s="60"/>
      <c r="D65" s="60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</row>
    <row r="66" spans="1:29" ht="15.75">
      <c r="A66" s="155" t="s">
        <v>91</v>
      </c>
      <c r="B66" s="156"/>
      <c r="C66" s="60"/>
      <c r="D66" s="60"/>
      <c r="E66" s="64">
        <f>IF(Calcoli!$I$72=TRUE,Calcoli!D88,0)</f>
        <v>0</v>
      </c>
      <c r="F66" s="64">
        <f>IF(Calcoli!$I$72=TRUE,Calcoli!E88,0)</f>
        <v>0</v>
      </c>
      <c r="G66" s="64">
        <f>IF(Calcoli!$I$72=TRUE,Calcoli!F88,0)</f>
        <v>0</v>
      </c>
      <c r="H66" s="64">
        <f>IF(Calcoli!$I$72=TRUE,Calcoli!G88,0)</f>
        <v>0</v>
      </c>
      <c r="I66" s="64">
        <f>IF(Calcoli!$I$72=TRUE,Calcoli!H88,0)</f>
        <v>0</v>
      </c>
      <c r="J66" s="64">
        <f>IF(Calcoli!$I$72=TRUE,Calcoli!I88,0)</f>
        <v>0</v>
      </c>
      <c r="K66" s="64">
        <f>IF(Calcoli!$I$72=TRUE,Calcoli!J88,0)</f>
        <v>0</v>
      </c>
      <c r="L66" s="64">
        <f>IF(Calcoli!$I$72=TRUE,Calcoli!K88,0)</f>
        <v>0</v>
      </c>
      <c r="M66" s="64">
        <f>IF(Calcoli!$I$72=TRUE,Calcoli!L88,0)</f>
        <v>0</v>
      </c>
      <c r="N66" s="64">
        <f>IF(Calcoli!$I$72=TRUE,Calcoli!M88,0)</f>
        <v>0</v>
      </c>
      <c r="O66" s="64">
        <f>IF(Calcoli!$I$72=TRUE,Calcoli!N88,0)</f>
        <v>0</v>
      </c>
      <c r="P66" s="64">
        <f>IF(Calcoli!$I$72=TRUE,Calcoli!O88,0)</f>
        <v>0</v>
      </c>
      <c r="Q66" s="64">
        <f>IF(Calcoli!$I$72=TRUE,Calcoli!P88,0)</f>
        <v>0</v>
      </c>
      <c r="R66" s="64">
        <f>IF(Calcoli!$I$72=TRUE,Calcoli!Q88,0)</f>
        <v>0</v>
      </c>
      <c r="S66" s="64">
        <f>IF(Calcoli!$I$72=TRUE,Calcoli!R88,0)</f>
        <v>0</v>
      </c>
      <c r="T66" s="64">
        <f>IF(Calcoli!$I$72=TRUE,Calcoli!S88,0)</f>
        <v>0</v>
      </c>
      <c r="U66" s="64">
        <f>IF(Calcoli!$I$72=TRUE,Calcoli!T88,0)</f>
        <v>0</v>
      </c>
      <c r="V66" s="64">
        <f>IF(Calcoli!$I$72=TRUE,Calcoli!U88,0)</f>
        <v>0</v>
      </c>
      <c r="W66" s="64">
        <f>IF(Calcoli!$I$72=TRUE,Calcoli!V88,0)</f>
        <v>0</v>
      </c>
      <c r="X66" s="64">
        <f>IF(Calcoli!$I$72=TRUE,Calcoli!W88,0)</f>
        <v>0</v>
      </c>
      <c r="Y66" s="64">
        <f>IF(Calcoli!$I$72=TRUE,Calcoli!X88,0)</f>
        <v>0</v>
      </c>
      <c r="Z66" s="64">
        <f>IF(Calcoli!$I$72=TRUE,Calcoli!Y88,0)</f>
        <v>0</v>
      </c>
      <c r="AA66" s="64">
        <f>IF(Calcoli!$I$72=TRUE,Calcoli!Z88,0)</f>
        <v>0</v>
      </c>
      <c r="AB66" s="64">
        <f>IF(Calcoli!$I$72=TRUE,Calcoli!AA88,0)</f>
        <v>0</v>
      </c>
      <c r="AC66" s="64">
        <f>IF(Calcoli!$I$72=TRUE,Calcoli!AB88,0)</f>
        <v>0</v>
      </c>
    </row>
    <row r="67" spans="1:29" ht="15.75">
      <c r="A67" s="155" t="s">
        <v>120</v>
      </c>
      <c r="B67" s="156"/>
      <c r="C67" s="60"/>
      <c r="D67" s="60"/>
      <c r="E67" s="104">
        <f>IF(Calcoli!$L$72=FALSE,Calcoli!D67,0)</f>
        <v>0</v>
      </c>
      <c r="F67" s="104">
        <f>IF(Calcoli!$L$72=FALSE,Calcoli!E67,0)</f>
        <v>0</v>
      </c>
      <c r="G67" s="104">
        <f>IF(Calcoli!$L$72=FALSE,Calcoli!F67,0)</f>
        <v>0</v>
      </c>
      <c r="H67" s="104">
        <f>IF(Calcoli!$L$72=FALSE,Calcoli!G67,0)</f>
        <v>0</v>
      </c>
      <c r="I67" s="104">
        <f>IF(Calcoli!$L$72=FALSE,Calcoli!H67,0)</f>
        <v>0</v>
      </c>
      <c r="J67" s="104">
        <f>IF(Calcoli!$L$72=FALSE,Calcoli!I67,0)</f>
        <v>0</v>
      </c>
      <c r="K67" s="104">
        <f>IF(Calcoli!$L$72=FALSE,Calcoli!J67,0)</f>
        <v>0</v>
      </c>
      <c r="L67" s="104">
        <f>IF(Calcoli!$L$72=FALSE,Calcoli!K67,0)</f>
        <v>0</v>
      </c>
      <c r="M67" s="104">
        <f>IF(Calcoli!$L$72=FALSE,Calcoli!L67,0)</f>
        <v>0</v>
      </c>
      <c r="N67" s="104">
        <f>IF(Calcoli!$L$72=FALSE,Calcoli!M67,0)</f>
        <v>0</v>
      </c>
      <c r="O67" s="104">
        <f>IF(Calcoli!$L$72=FALSE,Calcoli!N67,0)</f>
        <v>0</v>
      </c>
      <c r="P67" s="104">
        <f>IF(Calcoli!$L$72=FALSE,Calcoli!O67,0)</f>
        <v>0</v>
      </c>
      <c r="Q67" s="104">
        <f>IF(Calcoli!$L$72=FALSE,Calcoli!P67,0)</f>
        <v>0</v>
      </c>
      <c r="R67" s="104">
        <f>IF(Calcoli!$L$72=FALSE,Calcoli!Q67,0)</f>
        <v>0</v>
      </c>
      <c r="S67" s="104">
        <f>IF(Calcoli!$L$72=FALSE,Calcoli!R67,0)</f>
        <v>0</v>
      </c>
      <c r="T67" s="104">
        <f>IF(Calcoli!$L$72=FALSE,Calcoli!S67,0)</f>
        <v>0</v>
      </c>
      <c r="U67" s="104">
        <f>IF(Calcoli!$L$72=FALSE,Calcoli!T67,0)</f>
        <v>0</v>
      </c>
      <c r="V67" s="104">
        <f>IF(Calcoli!$L$72=FALSE,Calcoli!U67,0)</f>
        <v>0</v>
      </c>
      <c r="W67" s="104">
        <f>IF(Calcoli!$L$72=FALSE,Calcoli!V67,0)</f>
        <v>0</v>
      </c>
      <c r="X67" s="104">
        <f>IF(Calcoli!$L$72=FALSE,Calcoli!W67,0)</f>
        <v>0</v>
      </c>
      <c r="Y67" s="104">
        <f>IF(Calcoli!$L$72=FALSE,Calcoli!X67,0)</f>
        <v>0</v>
      </c>
      <c r="Z67" s="104">
        <f>IF(Calcoli!$L$72=FALSE,Calcoli!Y67,0)</f>
        <v>0</v>
      </c>
      <c r="AA67" s="104">
        <f>IF(Calcoli!$L$72=FALSE,Calcoli!Z67,0)</f>
        <v>0</v>
      </c>
      <c r="AB67" s="104">
        <f>IF(Calcoli!$L$72=FALSE,Calcoli!AA67,0)</f>
        <v>0</v>
      </c>
      <c r="AC67" s="104">
        <f>IF(Calcoli!$L$72=FALSE,Calcoli!AB67,0)</f>
        <v>0</v>
      </c>
    </row>
    <row r="68" spans="1:29" ht="15.75">
      <c r="A68" s="155" t="s">
        <v>89</v>
      </c>
      <c r="B68" s="156"/>
      <c r="C68" s="60"/>
      <c r="D68" s="60"/>
      <c r="E68" s="64">
        <f>IF(Calcoli!$I$76=TRUE,Calcoli!D110,0)</f>
        <v>0</v>
      </c>
      <c r="F68" s="64">
        <f>IF(Calcoli!$I$76=TRUE,Calcoli!E110,0)</f>
        <v>0</v>
      </c>
      <c r="G68" s="64">
        <f>IF(Calcoli!$I$76=TRUE,Calcoli!F110,0)</f>
        <v>0</v>
      </c>
      <c r="H68" s="64">
        <f>IF(Calcoli!$I$76=TRUE,Calcoli!G110,0)</f>
        <v>0</v>
      </c>
      <c r="I68" s="64">
        <f>IF(Calcoli!$I$76=TRUE,Calcoli!H110,0)</f>
        <v>0</v>
      </c>
      <c r="J68" s="64">
        <f>IF(Calcoli!$I$76=TRUE,Calcoli!I110,0)</f>
        <v>0</v>
      </c>
      <c r="K68" s="64">
        <f>IF(Calcoli!$I$76=TRUE,Calcoli!J110,0)</f>
        <v>0</v>
      </c>
      <c r="L68" s="64">
        <f>IF(Calcoli!$I$76=TRUE,Calcoli!K110,0)</f>
        <v>0</v>
      </c>
      <c r="M68" s="64">
        <f>IF(Calcoli!$I$76=TRUE,Calcoli!L110,0)</f>
        <v>0</v>
      </c>
      <c r="N68" s="64">
        <f>IF(Calcoli!$I$76=TRUE,Calcoli!M110,0)</f>
        <v>0</v>
      </c>
      <c r="O68" s="64">
        <f>IF(Calcoli!$I$76=TRUE,Calcoli!N110,0)</f>
        <v>0</v>
      </c>
      <c r="P68" s="64">
        <f>IF(Calcoli!$I$76=TRUE,Calcoli!O110,0)</f>
        <v>0</v>
      </c>
      <c r="Q68" s="64">
        <f>IF(Calcoli!$I$76=TRUE,Calcoli!P110,0)</f>
        <v>0</v>
      </c>
      <c r="R68" s="64">
        <f>IF(Calcoli!$I$76=TRUE,Calcoli!Q110,0)</f>
        <v>0</v>
      </c>
      <c r="S68" s="64">
        <f>IF(Calcoli!$I$76=TRUE,Calcoli!R110,0)</f>
        <v>0</v>
      </c>
      <c r="T68" s="64">
        <f>IF(Calcoli!$I$76=TRUE,Calcoli!S110,0)</f>
        <v>0</v>
      </c>
      <c r="U68" s="64">
        <f>IF(Calcoli!$I$76=TRUE,Calcoli!T110,0)</f>
        <v>0</v>
      </c>
      <c r="V68" s="64">
        <f>IF(Calcoli!$I$76=TRUE,Calcoli!U110,0)</f>
        <v>0</v>
      </c>
      <c r="W68" s="64">
        <f>IF(Calcoli!$I$76=TRUE,Calcoli!V110,0)</f>
        <v>0</v>
      </c>
      <c r="X68" s="64">
        <f>IF(Calcoli!$I$76=TRUE,Calcoli!W110,0)</f>
        <v>0</v>
      </c>
      <c r="Y68" s="64">
        <f>IF(Calcoli!$I$76=TRUE,Calcoli!X110,0)</f>
        <v>0</v>
      </c>
      <c r="Z68" s="64">
        <f>IF(Calcoli!$I$76=TRUE,Calcoli!Y110,0)</f>
        <v>0</v>
      </c>
      <c r="AA68" s="64">
        <f>IF(Calcoli!$I$76=TRUE,Calcoli!Z110,0)</f>
        <v>0</v>
      </c>
      <c r="AB68" s="64">
        <f>IF(Calcoli!$I$76=TRUE,Calcoli!AA110,0)</f>
        <v>0</v>
      </c>
      <c r="AC68" s="64">
        <f>IF(Calcoli!$I$76=TRUE,Calcoli!AB110,0)</f>
        <v>0</v>
      </c>
    </row>
    <row r="69" spans="1:29" ht="15.75">
      <c r="A69" s="155" t="s">
        <v>119</v>
      </c>
      <c r="B69" s="156"/>
      <c r="C69" s="60"/>
      <c r="D69" s="60"/>
      <c r="E69" s="150">
        <f>IF(Calcoli!$I$78=TRUE,E67/100*$K$21,0)</f>
        <v>0</v>
      </c>
      <c r="F69" s="150">
        <f>IF(Calcoli!$I$78=TRUE,F67/100*$K$21,0)</f>
        <v>0</v>
      </c>
      <c r="G69" s="150">
        <f>IF(Calcoli!$I$78=TRUE,G67/100*$K$21,0)</f>
        <v>0</v>
      </c>
      <c r="H69" s="150">
        <f>IF(Calcoli!$I$78=TRUE,H67/100*$K$21,0)</f>
        <v>0</v>
      </c>
      <c r="I69" s="150">
        <f>IF(Calcoli!$I$78=TRUE,I67/100*$K$21,0)</f>
        <v>0</v>
      </c>
      <c r="J69" s="150">
        <f>IF(Calcoli!$I$78=TRUE,J67/100*$K$21,0)</f>
        <v>0</v>
      </c>
      <c r="K69" s="150">
        <f>IF(Calcoli!$I$78=TRUE,K67/100*$K$21,0)</f>
        <v>0</v>
      </c>
      <c r="L69" s="150">
        <f>IF(Calcoli!$I$78=TRUE,L67/100*$K$21,0)</f>
        <v>0</v>
      </c>
      <c r="M69" s="150">
        <f>IF(Calcoli!$I$78=TRUE,M67/100*$K$21,0)</f>
        <v>0</v>
      </c>
      <c r="N69" s="150">
        <f>IF(Calcoli!$I$78=TRUE,N67/100*$K$21,0)</f>
        <v>0</v>
      </c>
      <c r="O69" s="150">
        <f>IF(Calcoli!$I$78=TRUE,O67/100*$K$21,0)</f>
        <v>0</v>
      </c>
      <c r="P69" s="150">
        <f>IF(Calcoli!$I$78=TRUE,P67/100*$K$21,0)</f>
        <v>0</v>
      </c>
      <c r="Q69" s="150">
        <f>IF(Calcoli!$I$78=TRUE,Q67/100*$K$21,0)</f>
        <v>0</v>
      </c>
      <c r="R69" s="150">
        <f>IF(Calcoli!$I$78=TRUE,R67/100*$K$21,0)</f>
        <v>0</v>
      </c>
      <c r="S69" s="150">
        <f>IF(Calcoli!$I$78=TRUE,S67/100*$K$21,0)</f>
        <v>0</v>
      </c>
      <c r="T69" s="150">
        <f>IF(Calcoli!$I$78=TRUE,T67/100*$K$21,0)</f>
        <v>0</v>
      </c>
      <c r="U69" s="150">
        <f>IF(Calcoli!$I$78=TRUE,U67/100*$K$21,0)</f>
        <v>0</v>
      </c>
      <c r="V69" s="150">
        <f>IF(Calcoli!$I$78=TRUE,V67/100*$K$21,0)</f>
        <v>0</v>
      </c>
      <c r="W69" s="150">
        <f>IF(Calcoli!$I$78=TRUE,W67/100*$K$21,0)</f>
        <v>0</v>
      </c>
      <c r="X69" s="150">
        <f>IF(Calcoli!$I$78=TRUE,X67/100*$K$21,0)</f>
        <v>0</v>
      </c>
      <c r="Y69" s="150">
        <f>IF(Calcoli!$I$78=TRUE,Y67/100*$K$21,0)</f>
        <v>0</v>
      </c>
      <c r="Z69" s="150">
        <f>IF(Calcoli!$I$78=TRUE,Z67/100*$K$21,0)</f>
        <v>0</v>
      </c>
      <c r="AA69" s="150">
        <f>IF(Calcoli!$I$78=TRUE,AA67/100*$K$21,0)</f>
        <v>0</v>
      </c>
      <c r="AB69" s="150">
        <f>IF(Calcoli!$I$78=TRUE,AB67/100*$K$21,0)</f>
        <v>0</v>
      </c>
      <c r="AC69" s="150">
        <f>IF(Calcoli!$I$78=TRUE,AC67/100*$K$21,0)</f>
        <v>0</v>
      </c>
    </row>
    <row r="70" spans="1:29" ht="15.75">
      <c r="A70" s="155" t="s">
        <v>90</v>
      </c>
      <c r="B70" s="156"/>
      <c r="C70" s="60"/>
      <c r="D70" s="60"/>
      <c r="E70" s="64">
        <f>IF(Calcoli!$I$74=TRUE,E67/100*$K$19,0)</f>
        <v>0</v>
      </c>
      <c r="F70" s="64">
        <f>IF(Calcoli!$I$74=TRUE,F67/100*$K$19,0)</f>
        <v>0</v>
      </c>
      <c r="G70" s="64">
        <f>IF(Calcoli!$I$74=TRUE,G67/100*$K$19,0)</f>
        <v>0</v>
      </c>
      <c r="H70" s="64">
        <f>IF(Calcoli!$I$74=TRUE,H67/100*$K$19,0)</f>
        <v>0</v>
      </c>
      <c r="I70" s="64">
        <f>IF(Calcoli!$I$74=TRUE,I67/100*$K$19,0)</f>
        <v>0</v>
      </c>
      <c r="J70" s="64">
        <f>IF(Calcoli!$I$74=TRUE,J67/100*$K$19,0)</f>
        <v>0</v>
      </c>
      <c r="K70" s="64">
        <f>IF(Calcoli!$I$74=TRUE,K67/100*$K$19,0)</f>
        <v>0</v>
      </c>
      <c r="L70" s="64">
        <f>IF(Calcoli!$I$74=TRUE,L67/100*$K$19,0)</f>
        <v>0</v>
      </c>
      <c r="M70" s="64">
        <f>IF(Calcoli!$I$74=TRUE,M67/100*$K$19,0)</f>
        <v>0</v>
      </c>
      <c r="N70" s="64">
        <f>IF(Calcoli!$I$74=TRUE,N67/100*$K$19,0)</f>
        <v>0</v>
      </c>
      <c r="O70" s="64">
        <f>IF(Calcoli!$I$74=TRUE,O67/100*$K$19,0)</f>
        <v>0</v>
      </c>
      <c r="P70" s="64">
        <f>IF(Calcoli!$I$74=TRUE,P67/100*$K$19,0)</f>
        <v>0</v>
      </c>
      <c r="Q70" s="64">
        <f>IF(Calcoli!$I$74=TRUE,Q67/100*$K$19,0)</f>
        <v>0</v>
      </c>
      <c r="R70" s="64">
        <f>IF(Calcoli!$I$74=TRUE,R67/100*$K$19,0)</f>
        <v>0</v>
      </c>
      <c r="S70" s="64">
        <f>IF(Calcoli!$I$74=TRUE,S67/100*$K$19,0)</f>
        <v>0</v>
      </c>
      <c r="T70" s="64">
        <f>IF(Calcoli!$I$74=TRUE,T67/100*$K$19,0)</f>
        <v>0</v>
      </c>
      <c r="U70" s="64">
        <f>IF(Calcoli!$I$74=TRUE,U67/100*$K$19,0)</f>
        <v>0</v>
      </c>
      <c r="V70" s="64">
        <f>IF(Calcoli!$I$74=TRUE,V67/100*$K$19,0)</f>
        <v>0</v>
      </c>
      <c r="W70" s="64">
        <f>IF(Calcoli!$I$74=TRUE,W67/100*$K$19,0)</f>
        <v>0</v>
      </c>
      <c r="X70" s="64">
        <f>IF(Calcoli!$I$74=TRUE,X67/100*$K$19,0)</f>
        <v>0</v>
      </c>
      <c r="Y70" s="64">
        <f>IF(Calcoli!$I$74=TRUE,Y67/100*$K$19,0)</f>
        <v>0</v>
      </c>
      <c r="Z70" s="64">
        <f>IF(Calcoli!$I$74=TRUE,Z67/100*$K$19,0)</f>
        <v>0</v>
      </c>
      <c r="AA70" s="64">
        <f>IF(Calcoli!$I$74=TRUE,AA67/100*$K$19,0)</f>
        <v>0</v>
      </c>
      <c r="AB70" s="64">
        <f>IF(Calcoli!$I$74=TRUE,AB67/100*$K$19,0)</f>
        <v>0</v>
      </c>
      <c r="AC70" s="64">
        <f>IF(Calcoli!$I$74=TRUE,AC67/100*$K$19,0)</f>
        <v>0</v>
      </c>
    </row>
    <row r="71" spans="1:29" ht="15.75">
      <c r="A71" s="157" t="s">
        <v>41</v>
      </c>
      <c r="B71" s="158"/>
      <c r="C71" s="60"/>
      <c r="D71" s="60"/>
      <c r="E71" s="147">
        <f>$C$38</f>
        <v>150</v>
      </c>
      <c r="F71" s="147">
        <f t="shared" ref="F71:AC71" si="29">$C$38</f>
        <v>150</v>
      </c>
      <c r="G71" s="147">
        <f t="shared" si="29"/>
        <v>150</v>
      </c>
      <c r="H71" s="147">
        <f t="shared" si="29"/>
        <v>150</v>
      </c>
      <c r="I71" s="147">
        <f t="shared" si="29"/>
        <v>150</v>
      </c>
      <c r="J71" s="147">
        <f t="shared" si="29"/>
        <v>150</v>
      </c>
      <c r="K71" s="147">
        <f t="shared" si="29"/>
        <v>150</v>
      </c>
      <c r="L71" s="147">
        <f t="shared" si="29"/>
        <v>150</v>
      </c>
      <c r="M71" s="147">
        <f t="shared" si="29"/>
        <v>150</v>
      </c>
      <c r="N71" s="147">
        <f t="shared" si="29"/>
        <v>150</v>
      </c>
      <c r="O71" s="147">
        <f t="shared" si="29"/>
        <v>150</v>
      </c>
      <c r="P71" s="147">
        <f t="shared" si="29"/>
        <v>150</v>
      </c>
      <c r="Q71" s="147">
        <f t="shared" si="29"/>
        <v>150</v>
      </c>
      <c r="R71" s="147">
        <f t="shared" si="29"/>
        <v>150</v>
      </c>
      <c r="S71" s="147">
        <f t="shared" si="29"/>
        <v>150</v>
      </c>
      <c r="T71" s="147">
        <f t="shared" si="29"/>
        <v>150</v>
      </c>
      <c r="U71" s="147">
        <f t="shared" si="29"/>
        <v>150</v>
      </c>
      <c r="V71" s="147">
        <f t="shared" si="29"/>
        <v>150</v>
      </c>
      <c r="W71" s="147">
        <f t="shared" si="29"/>
        <v>150</v>
      </c>
      <c r="X71" s="147">
        <f t="shared" si="29"/>
        <v>150</v>
      </c>
      <c r="Y71" s="147">
        <f t="shared" si="29"/>
        <v>150</v>
      </c>
      <c r="Z71" s="147">
        <f t="shared" si="29"/>
        <v>150</v>
      </c>
      <c r="AA71" s="147">
        <f t="shared" si="29"/>
        <v>150</v>
      </c>
      <c r="AB71" s="147">
        <f t="shared" si="29"/>
        <v>150</v>
      </c>
      <c r="AC71" s="147">
        <f t="shared" si="29"/>
        <v>150</v>
      </c>
    </row>
    <row r="72" spans="1:29" ht="15.75">
      <c r="A72" s="157" t="s">
        <v>81</v>
      </c>
      <c r="B72" s="158"/>
      <c r="C72" s="60"/>
      <c r="D72" s="60"/>
      <c r="E72" s="147">
        <f>IF(Calcoli!$D$1&lt;6,C40,0)</f>
        <v>18</v>
      </c>
      <c r="F72" s="147">
        <v>0</v>
      </c>
      <c r="G72" s="147">
        <v>0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  <c r="N72" s="147">
        <v>0</v>
      </c>
      <c r="O72" s="147">
        <v>0</v>
      </c>
      <c r="P72" s="147">
        <v>0</v>
      </c>
      <c r="Q72" s="147">
        <v>0</v>
      </c>
      <c r="R72" s="147">
        <v>0</v>
      </c>
      <c r="S72" s="147">
        <v>0</v>
      </c>
      <c r="T72" s="147">
        <v>0</v>
      </c>
      <c r="U72" s="147">
        <v>0</v>
      </c>
      <c r="V72" s="147">
        <v>0</v>
      </c>
      <c r="W72" s="147">
        <v>0</v>
      </c>
      <c r="X72" s="147">
        <v>0</v>
      </c>
      <c r="Y72" s="147">
        <v>0</v>
      </c>
      <c r="Z72" s="147">
        <v>0</v>
      </c>
      <c r="AA72" s="147">
        <v>0</v>
      </c>
      <c r="AB72" s="147">
        <v>0</v>
      </c>
      <c r="AC72" s="147">
        <v>0</v>
      </c>
    </row>
    <row r="73" spans="1:29" ht="15.75">
      <c r="A73" s="157" t="s">
        <v>80</v>
      </c>
      <c r="B73" s="158"/>
      <c r="C73" s="60"/>
      <c r="D73" s="60"/>
      <c r="E73" s="147">
        <f>IF(Calcoli!$D$1&lt;6,$C$41,0)</f>
        <v>3.6</v>
      </c>
      <c r="F73" s="147">
        <f>IF(Calcoli!$D$1&lt;6,$C$41,0)</f>
        <v>3.6</v>
      </c>
      <c r="G73" s="147">
        <f>IF(Calcoli!$D$1&lt;6,$C$41,0)</f>
        <v>3.6</v>
      </c>
      <c r="H73" s="147">
        <f>IF(Calcoli!$D$1&lt;6,$C$41,0)</f>
        <v>3.6</v>
      </c>
      <c r="I73" s="147">
        <f>IF(Calcoli!$D$1&lt;6,$C$41,0)</f>
        <v>3.6</v>
      </c>
      <c r="J73" s="147">
        <f>IF(Calcoli!$D$1&lt;6,$C$41,0)</f>
        <v>3.6</v>
      </c>
      <c r="K73" s="147">
        <f>IF(Calcoli!$D$1&lt;6,$C$41,0)</f>
        <v>3.6</v>
      </c>
      <c r="L73" s="147">
        <f>IF(Calcoli!$D$1&lt;6,$C$41,0)</f>
        <v>3.6</v>
      </c>
      <c r="M73" s="147">
        <f>IF(Calcoli!$D$1&lt;6,$C$41,0)</f>
        <v>3.6</v>
      </c>
      <c r="N73" s="147">
        <f>IF(Calcoli!$D$1&lt;6,$C$41,0)</f>
        <v>3.6</v>
      </c>
      <c r="O73" s="147">
        <f>IF(Calcoli!$D$1&lt;6,$C$41,0)</f>
        <v>3.6</v>
      </c>
      <c r="P73" s="147">
        <f>IF(Calcoli!$D$1&lt;6,$C$41,0)</f>
        <v>3.6</v>
      </c>
      <c r="Q73" s="147">
        <f>IF(Calcoli!$D$1&lt;6,$C$41,0)</f>
        <v>3.6</v>
      </c>
      <c r="R73" s="147">
        <f>IF(Calcoli!$D$1&lt;6,$C$41,0)</f>
        <v>3.6</v>
      </c>
      <c r="S73" s="147">
        <f>IF(Calcoli!$D$1&lt;6,$C$41,0)</f>
        <v>3.6</v>
      </c>
      <c r="T73" s="147">
        <f>IF(Calcoli!$D$1&lt;6,$C$41,0)</f>
        <v>3.6</v>
      </c>
      <c r="U73" s="147">
        <f>IF(Calcoli!$D$1&lt;6,$C$41,0)</f>
        <v>3.6</v>
      </c>
      <c r="V73" s="147">
        <f>IF(Calcoli!$D$1&lt;6,$C$41,0)</f>
        <v>3.6</v>
      </c>
      <c r="W73" s="147">
        <f>IF(Calcoli!$D$1&lt;6,$C$41,0)</f>
        <v>3.6</v>
      </c>
      <c r="X73" s="147">
        <f>IF(Calcoli!$D$1&lt;6,$C$41,0)</f>
        <v>3.6</v>
      </c>
      <c r="Y73" s="147">
        <f>IF(Calcoli!$D$1&lt;6,$C$41,0)</f>
        <v>3.6</v>
      </c>
      <c r="Z73" s="147">
        <f>IF(Calcoli!$D$1&lt;6,$C$41,0)</f>
        <v>3.6</v>
      </c>
      <c r="AA73" s="147">
        <f>IF(Calcoli!$D$1&lt;6,$C$41,0)</f>
        <v>3.6</v>
      </c>
      <c r="AB73" s="147">
        <f>IF(Calcoli!$D$1&lt;6,$C$41,0)</f>
        <v>3.6</v>
      </c>
      <c r="AC73" s="147">
        <f>IF(Calcoli!$D$1&lt;6,$C$41,0)</f>
        <v>3.6</v>
      </c>
    </row>
    <row r="74" spans="1:29" ht="15.75">
      <c r="A74" s="157" t="s">
        <v>135</v>
      </c>
      <c r="B74" s="158"/>
      <c r="C74" s="60"/>
      <c r="D74" s="60"/>
      <c r="E74" s="147">
        <f>$C$42</f>
        <v>285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v>0</v>
      </c>
      <c r="N74" s="147">
        <v>0</v>
      </c>
      <c r="O74" s="147">
        <v>0</v>
      </c>
      <c r="P74" s="147">
        <v>0</v>
      </c>
      <c r="Q74" s="147">
        <v>0</v>
      </c>
      <c r="R74" s="147">
        <v>0</v>
      </c>
      <c r="S74" s="147">
        <v>0</v>
      </c>
      <c r="T74" s="147">
        <v>0</v>
      </c>
      <c r="U74" s="147">
        <v>0</v>
      </c>
      <c r="V74" s="147">
        <v>0</v>
      </c>
      <c r="W74" s="147">
        <v>0</v>
      </c>
      <c r="X74" s="147">
        <v>0</v>
      </c>
      <c r="Y74" s="147">
        <v>0</v>
      </c>
      <c r="Z74" s="147">
        <v>0</v>
      </c>
      <c r="AA74" s="147">
        <v>0</v>
      </c>
      <c r="AB74" s="147">
        <v>0</v>
      </c>
      <c r="AC74" s="147">
        <v>0</v>
      </c>
    </row>
    <row r="75" spans="1:29" ht="15.75">
      <c r="A75" s="157" t="s">
        <v>85</v>
      </c>
      <c r="B75" s="158"/>
      <c r="C75" s="60"/>
      <c r="D75" s="60"/>
      <c r="E75" s="147">
        <f>$C$43</f>
        <v>100</v>
      </c>
      <c r="F75" s="147">
        <v>0</v>
      </c>
      <c r="G75" s="147">
        <v>0</v>
      </c>
      <c r="H75" s="147">
        <v>0</v>
      </c>
      <c r="I75" s="147">
        <v>0</v>
      </c>
      <c r="J75" s="147">
        <v>0</v>
      </c>
      <c r="K75" s="147">
        <v>0</v>
      </c>
      <c r="L75" s="147">
        <v>0</v>
      </c>
      <c r="M75" s="147">
        <v>0</v>
      </c>
      <c r="N75" s="147">
        <v>0</v>
      </c>
      <c r="O75" s="147">
        <v>0</v>
      </c>
      <c r="P75" s="147">
        <v>0</v>
      </c>
      <c r="Q75" s="147">
        <v>0</v>
      </c>
      <c r="R75" s="147">
        <v>0</v>
      </c>
      <c r="S75" s="147">
        <v>0</v>
      </c>
      <c r="T75" s="147">
        <v>0</v>
      </c>
      <c r="U75" s="147">
        <v>0</v>
      </c>
      <c r="V75" s="147">
        <v>0</v>
      </c>
      <c r="W75" s="147">
        <v>0</v>
      </c>
      <c r="X75" s="147">
        <v>0</v>
      </c>
      <c r="Y75" s="147">
        <v>0</v>
      </c>
      <c r="Z75" s="147">
        <v>0</v>
      </c>
      <c r="AA75" s="147">
        <v>0</v>
      </c>
      <c r="AB75" s="147">
        <v>0</v>
      </c>
      <c r="AC75" s="147">
        <v>0</v>
      </c>
    </row>
    <row r="76" spans="1:29" ht="16.5" thickBot="1">
      <c r="A76" s="157" t="s">
        <v>37</v>
      </c>
      <c r="B76" s="158"/>
      <c r="C76" s="60"/>
      <c r="D76" s="60"/>
      <c r="E76" s="147">
        <f>IF(E79&lt;=$C$45,$C$44,0)</f>
        <v>50</v>
      </c>
      <c r="F76" s="147">
        <f t="shared" ref="F76:AC76" si="30">IF(F79&lt;=$C$45,$C$44,0)</f>
        <v>50</v>
      </c>
      <c r="G76" s="147">
        <f t="shared" si="30"/>
        <v>50</v>
      </c>
      <c r="H76" s="147">
        <f t="shared" si="30"/>
        <v>50</v>
      </c>
      <c r="I76" s="147">
        <f t="shared" si="30"/>
        <v>50</v>
      </c>
      <c r="J76" s="147">
        <f t="shared" si="30"/>
        <v>50</v>
      </c>
      <c r="K76" s="147">
        <f t="shared" si="30"/>
        <v>50</v>
      </c>
      <c r="L76" s="147">
        <f t="shared" si="30"/>
        <v>50</v>
      </c>
      <c r="M76" s="147">
        <f t="shared" si="30"/>
        <v>50</v>
      </c>
      <c r="N76" s="147">
        <f t="shared" si="30"/>
        <v>50</v>
      </c>
      <c r="O76" s="147">
        <f t="shared" si="30"/>
        <v>50</v>
      </c>
      <c r="P76" s="147">
        <f t="shared" si="30"/>
        <v>50</v>
      </c>
      <c r="Q76" s="147">
        <f t="shared" si="30"/>
        <v>50</v>
      </c>
      <c r="R76" s="147">
        <f t="shared" si="30"/>
        <v>50</v>
      </c>
      <c r="S76" s="147">
        <f t="shared" si="30"/>
        <v>50</v>
      </c>
      <c r="T76" s="147">
        <f t="shared" si="30"/>
        <v>0</v>
      </c>
      <c r="U76" s="147">
        <f t="shared" si="30"/>
        <v>0</v>
      </c>
      <c r="V76" s="147">
        <f t="shared" si="30"/>
        <v>0</v>
      </c>
      <c r="W76" s="147">
        <f t="shared" si="30"/>
        <v>0</v>
      </c>
      <c r="X76" s="147">
        <f t="shared" si="30"/>
        <v>0</v>
      </c>
      <c r="Y76" s="147">
        <f t="shared" si="30"/>
        <v>0</v>
      </c>
      <c r="Z76" s="147">
        <f t="shared" si="30"/>
        <v>0</v>
      </c>
      <c r="AA76" s="147">
        <f t="shared" si="30"/>
        <v>0</v>
      </c>
      <c r="AB76" s="147">
        <f t="shared" si="30"/>
        <v>0</v>
      </c>
      <c r="AC76" s="147">
        <f t="shared" si="30"/>
        <v>0</v>
      </c>
    </row>
    <row r="77" spans="1:29" ht="16.5" thickBot="1">
      <c r="A77" s="62" t="s">
        <v>149</v>
      </c>
      <c r="B77" s="60"/>
      <c r="C77" s="60"/>
      <c r="D77" s="60"/>
      <c r="E77" s="141">
        <f>SUM(E68:E76)</f>
        <v>606.6</v>
      </c>
      <c r="F77" s="142">
        <f>SUM(F68:F76)</f>
        <v>203.6</v>
      </c>
      <c r="G77" s="142">
        <f t="shared" ref="G77:X77" si="31">SUM(G68:G76)</f>
        <v>203.6</v>
      </c>
      <c r="H77" s="142">
        <f t="shared" si="31"/>
        <v>203.6</v>
      </c>
      <c r="I77" s="142">
        <f t="shared" si="31"/>
        <v>203.6</v>
      </c>
      <c r="J77" s="142">
        <f t="shared" si="31"/>
        <v>203.6</v>
      </c>
      <c r="K77" s="142">
        <f t="shared" si="31"/>
        <v>203.6</v>
      </c>
      <c r="L77" s="142">
        <f t="shared" si="31"/>
        <v>203.6</v>
      </c>
      <c r="M77" s="142">
        <f t="shared" si="31"/>
        <v>203.6</v>
      </c>
      <c r="N77" s="142">
        <f t="shared" si="31"/>
        <v>203.6</v>
      </c>
      <c r="O77" s="142">
        <f t="shared" si="31"/>
        <v>203.6</v>
      </c>
      <c r="P77" s="142">
        <f t="shared" si="31"/>
        <v>203.6</v>
      </c>
      <c r="Q77" s="142">
        <f t="shared" si="31"/>
        <v>203.6</v>
      </c>
      <c r="R77" s="142">
        <f t="shared" si="31"/>
        <v>203.6</v>
      </c>
      <c r="S77" s="142">
        <f t="shared" si="31"/>
        <v>203.6</v>
      </c>
      <c r="T77" s="142">
        <f t="shared" si="31"/>
        <v>153.6</v>
      </c>
      <c r="U77" s="142">
        <f t="shared" si="31"/>
        <v>153.6</v>
      </c>
      <c r="V77" s="142">
        <f t="shared" si="31"/>
        <v>153.6</v>
      </c>
      <c r="W77" s="142">
        <f t="shared" si="31"/>
        <v>153.6</v>
      </c>
      <c r="X77" s="143">
        <f t="shared" si="31"/>
        <v>153.6</v>
      </c>
      <c r="Y77" s="143">
        <f t="shared" ref="Y77:AC77" si="32">SUM(Y68:Y76)</f>
        <v>153.6</v>
      </c>
      <c r="Z77" s="143">
        <f t="shared" si="32"/>
        <v>153.6</v>
      </c>
      <c r="AA77" s="143">
        <f t="shared" si="32"/>
        <v>153.6</v>
      </c>
      <c r="AB77" s="143">
        <f t="shared" si="32"/>
        <v>153.6</v>
      </c>
      <c r="AC77" s="143">
        <f t="shared" si="32"/>
        <v>153.6</v>
      </c>
    </row>
    <row r="78" spans="1:29" ht="11.25" customHeight="1">
      <c r="A78" s="50"/>
      <c r="B78" s="60"/>
      <c r="C78" s="60"/>
      <c r="D78" s="60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1:29" ht="16.5" thickBot="1">
      <c r="A79" s="62" t="s">
        <v>95</v>
      </c>
      <c r="B79" s="60"/>
      <c r="C79" s="60"/>
      <c r="D79" s="60"/>
      <c r="E79" s="66">
        <v>1</v>
      </c>
      <c r="F79" s="66">
        <v>2</v>
      </c>
      <c r="G79" s="66">
        <v>3</v>
      </c>
      <c r="H79" s="66">
        <v>4</v>
      </c>
      <c r="I79" s="66">
        <v>5</v>
      </c>
      <c r="J79" s="66">
        <v>6</v>
      </c>
      <c r="K79" s="66">
        <v>7</v>
      </c>
      <c r="L79" s="66">
        <v>8</v>
      </c>
      <c r="M79" s="66">
        <v>9</v>
      </c>
      <c r="N79" s="66">
        <v>10</v>
      </c>
      <c r="O79" s="66">
        <v>11</v>
      </c>
      <c r="P79" s="66">
        <v>12</v>
      </c>
      <c r="Q79" s="66">
        <v>13</v>
      </c>
      <c r="R79" s="66">
        <v>14</v>
      </c>
      <c r="S79" s="66">
        <v>15</v>
      </c>
      <c r="T79" s="66">
        <v>16</v>
      </c>
      <c r="U79" s="66">
        <v>17</v>
      </c>
      <c r="V79" s="66">
        <v>18</v>
      </c>
      <c r="W79" s="66">
        <v>19</v>
      </c>
      <c r="X79" s="66">
        <v>20</v>
      </c>
      <c r="Y79" s="66">
        <v>21</v>
      </c>
      <c r="Z79" s="66">
        <v>22</v>
      </c>
      <c r="AA79" s="66">
        <v>23</v>
      </c>
      <c r="AB79" s="66">
        <v>24</v>
      </c>
      <c r="AC79" s="66">
        <v>25</v>
      </c>
    </row>
    <row r="80" spans="1:29" ht="16.5" thickBot="1">
      <c r="A80" s="62" t="s">
        <v>150</v>
      </c>
      <c r="B80" s="60"/>
      <c r="C80" s="60"/>
      <c r="D80" s="60"/>
      <c r="E80" s="67">
        <f>(-(C3*C37))+E64-E77</f>
        <v>-10928.9</v>
      </c>
      <c r="F80" s="67">
        <f t="shared" ref="F80:X80" si="33">E80+F64-F77</f>
        <v>-9459.7968000000001</v>
      </c>
      <c r="G80" s="67">
        <f t="shared" si="33"/>
        <v>-7995.2044288000006</v>
      </c>
      <c r="H80" s="67">
        <f t="shared" si="33"/>
        <v>-6534.6236489408011</v>
      </c>
      <c r="I80" s="67">
        <f t="shared" si="33"/>
        <v>-5077.5413705003348</v>
      </c>
      <c r="J80" s="67">
        <f t="shared" si="33"/>
        <v>-3623.4300419418328</v>
      </c>
      <c r="K80" s="67">
        <f t="shared" si="33"/>
        <v>-2171.7470170913971</v>
      </c>
      <c r="L80" s="67">
        <f t="shared" si="33"/>
        <v>-721.9338972856973</v>
      </c>
      <c r="M80" s="67">
        <f t="shared" si="33"/>
        <v>726.58415230782634</v>
      </c>
      <c r="N80" s="67">
        <f t="shared" si="33"/>
        <v>2174.3991132357264</v>
      </c>
      <c r="O80" s="67">
        <f t="shared" si="33"/>
        <v>3622.120852247222</v>
      </c>
      <c r="P80" s="67">
        <f t="shared" si="33"/>
        <v>5070.3778888488387</v>
      </c>
      <c r="Q80" s="67">
        <f t="shared" si="33"/>
        <v>6519.8181930919145</v>
      </c>
      <c r="R80" s="67">
        <f t="shared" si="33"/>
        <v>7971.1100148065107</v>
      </c>
      <c r="S80" s="67">
        <f t="shared" si="33"/>
        <v>9424.9427455437726</v>
      </c>
      <c r="T80" s="67">
        <f t="shared" si="33"/>
        <v>10932.02781453922</v>
      </c>
      <c r="U80" s="67">
        <f t="shared" si="33"/>
        <v>12443.099620061923</v>
      </c>
      <c r="V80" s="67">
        <f t="shared" si="33"/>
        <v>13958.916497569064</v>
      </c>
      <c r="W80" s="67">
        <f t="shared" si="33"/>
        <v>15480.261726142147</v>
      </c>
      <c r="X80" s="67">
        <f t="shared" si="33"/>
        <v>17007.944574740122</v>
      </c>
      <c r="Y80" s="67">
        <f t="shared" ref="Y80" si="34">X80+Y64-Y77</f>
        <v>18118.312862880197</v>
      </c>
      <c r="Z80" s="67">
        <f t="shared" ref="Z80" si="35">Y80+Z64-Z77</f>
        <v>19239.640069078952</v>
      </c>
      <c r="AA80" s="67">
        <f t="shared" ref="AA80" si="36">Z80+AA64-AA77</f>
        <v>20372.793848379941</v>
      </c>
      <c r="AB80" s="67">
        <f t="shared" ref="AB80" si="37">AA80+AB64-AB77</f>
        <v>21518.672698343562</v>
      </c>
      <c r="AC80" s="67">
        <f t="shared" ref="AC80" si="38">AB80+AC64-AC77</f>
        <v>22678.207227520907</v>
      </c>
    </row>
    <row r="81" spans="1:29" ht="15.75" thickBot="1"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</row>
    <row r="82" spans="1:29" ht="15.75" thickBot="1">
      <c r="A82" s="138"/>
      <c r="B82" s="68" t="s">
        <v>146</v>
      </c>
    </row>
    <row r="83" spans="1:29" ht="15.75" thickBot="1">
      <c r="A83" s="145"/>
      <c r="B83" s="68" t="s">
        <v>147</v>
      </c>
    </row>
    <row r="84" spans="1:29" ht="15.75" thickBot="1">
      <c r="A84" s="139"/>
      <c r="B84" s="68" t="s">
        <v>144</v>
      </c>
    </row>
    <row r="85" spans="1:29" ht="15.75" thickBot="1">
      <c r="A85" s="148"/>
      <c r="B85" s="68" t="s">
        <v>145</v>
      </c>
    </row>
    <row r="86" spans="1:29">
      <c r="A86" s="2"/>
      <c r="B86" s="140"/>
    </row>
  </sheetData>
  <sheetProtection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80:X80">
    <cfRule type="cellIs" dxfId="56" priority="36" operator="greaterThan">
      <formula>0</formula>
    </cfRule>
    <cfRule type="cellIs" dxfId="55" priority="37" operator="lessThan">
      <formula>0</formula>
    </cfRule>
    <cfRule type="cellIs" dxfId="54" priority="53" operator="lessThan">
      <formula>0</formula>
    </cfRule>
    <cfRule type="cellIs" dxfId="53" priority="54" operator="greaterThan">
      <formula>0</formula>
    </cfRule>
    <cfRule type="cellIs" dxfId="52" priority="55" operator="greaterThan">
      <formula>0</formula>
    </cfRule>
  </conditionalFormatting>
  <conditionalFormatting sqref="E66:X70">
    <cfRule type="cellIs" dxfId="51" priority="38" operator="equal">
      <formula>0</formula>
    </cfRule>
    <cfRule type="cellIs" dxfId="50" priority="39" operator="equal">
      <formula>0</formula>
    </cfRule>
    <cfRule type="cellIs" dxfId="49" priority="40" operator="equal">
      <formula>0</formula>
    </cfRule>
    <cfRule type="cellIs" dxfId="48" priority="41" operator="equal">
      <formula>0</formula>
    </cfRule>
    <cfRule type="cellIs" dxfId="47" priority="42" operator="greaterThan">
      <formula>0</formula>
    </cfRule>
    <cfRule type="cellIs" dxfId="46" priority="43" operator="equal">
      <formula>0</formula>
    </cfRule>
    <cfRule type="cellIs" dxfId="45" priority="44" operator="greaterThan">
      <formula>0</formula>
    </cfRule>
    <cfRule type="cellIs" dxfId="44" priority="45" operator="greaterThan">
      <formula>0</formula>
    </cfRule>
    <cfRule type="cellIs" dxfId="43" priority="46" operator="equal">
      <formula>0</formula>
    </cfRule>
    <cfRule type="cellIs" dxfId="42" priority="47" operator="lessThan">
      <formula>0</formula>
    </cfRule>
    <cfRule type="cellIs" dxfId="41" priority="50" operator="lessThan">
      <formula>0</formula>
    </cfRule>
    <cfRule type="cellIs" dxfId="40" priority="51" operator="equal">
      <formula>0</formula>
    </cfRule>
    <cfRule type="cellIs" dxfId="39" priority="52" operator="greaterThan">
      <formula>0</formula>
    </cfRule>
  </conditionalFormatting>
  <conditionalFormatting sqref="E66:X66">
    <cfRule type="cellIs" dxfId="38" priority="48" operator="equal">
      <formula>0</formula>
    </cfRule>
    <cfRule type="cellIs" dxfId="37" priority="49" operator="lessThan">
      <formula>0</formula>
    </cfRule>
  </conditionalFormatting>
  <conditionalFormatting sqref="Y80:AC80">
    <cfRule type="cellIs" dxfId="36" priority="31" operator="greaterThan">
      <formula>0</formula>
    </cfRule>
    <cfRule type="cellIs" dxfId="35" priority="32" operator="lessThan">
      <formula>0</formula>
    </cfRule>
    <cfRule type="cellIs" dxfId="34" priority="33" operator="lessThan">
      <formula>0</formula>
    </cfRule>
    <cfRule type="cellIs" dxfId="33" priority="34" operator="greaterThan">
      <formula>0</formula>
    </cfRule>
    <cfRule type="cellIs" dxfId="32" priority="35" operator="greaterThan">
      <formula>0</formula>
    </cfRule>
  </conditionalFormatting>
  <conditionalFormatting sqref="Y66:AC70">
    <cfRule type="cellIs" dxfId="31" priority="15" operator="equal">
      <formula>0</formula>
    </cfRule>
    <cfRule type="cellIs" dxfId="30" priority="18" operator="equal">
      <formula>0</formula>
    </cfRule>
    <cfRule type="cellIs" dxfId="29" priority="19" operator="equal">
      <formula>0</formula>
    </cfRule>
    <cfRule type="cellIs" dxfId="28" priority="20" operator="equal">
      <formula>0</formula>
    </cfRule>
    <cfRule type="cellIs" dxfId="27" priority="21" operator="equal">
      <formula>0</formula>
    </cfRule>
    <cfRule type="cellIs" dxfId="26" priority="22" operator="greaterThan">
      <formula>0</formula>
    </cfRule>
    <cfRule type="cellIs" dxfId="25" priority="23" operator="equal">
      <formula>0</formula>
    </cfRule>
    <cfRule type="cellIs" dxfId="24" priority="24" operator="greaterThan">
      <formula>0</formula>
    </cfRule>
    <cfRule type="cellIs" dxfId="23" priority="25" operator="greaterThan">
      <formula>0</formula>
    </cfRule>
    <cfRule type="cellIs" dxfId="22" priority="26" operator="equal">
      <formula>0</formula>
    </cfRule>
    <cfRule type="cellIs" dxfId="21" priority="27" operator="lessThan">
      <formula>0</formula>
    </cfRule>
    <cfRule type="cellIs" dxfId="20" priority="28" operator="lessThan">
      <formula>0</formula>
    </cfRule>
    <cfRule type="cellIs" dxfId="19" priority="29" operator="equal">
      <formula>0</formula>
    </cfRule>
    <cfRule type="cellIs" dxfId="18" priority="30" operator="greaterThan">
      <formula>0</formula>
    </cfRule>
  </conditionalFormatting>
  <conditionalFormatting sqref="Y66:AC66">
    <cfRule type="cellIs" dxfId="17" priority="16" operator="equal">
      <formula>0</formula>
    </cfRule>
    <cfRule type="cellIs" dxfId="16" priority="17" operator="lessThan">
      <formula>0</formula>
    </cfRule>
  </conditionalFormatting>
  <conditionalFormatting sqref="Y67">
    <cfRule type="cellIs" dxfId="15" priority="2" operator="equal">
      <formula>0</formula>
    </cfRule>
    <cfRule type="cellIs" dxfId="14" priority="3" operator="equal">
      <formula>0</formula>
    </cfRule>
    <cfRule type="cellIs" dxfId="13" priority="4" operator="equal">
      <formula>0</formula>
    </cfRule>
    <cfRule type="cellIs" dxfId="12" priority="5" operator="equal">
      <formula>0</formula>
    </cfRule>
    <cfRule type="cellIs" dxfId="11" priority="6" operator="greaterThan">
      <formula>0</formula>
    </cfRule>
    <cfRule type="cellIs" dxfId="10" priority="7" operator="equal">
      <formula>0</formula>
    </cfRule>
    <cfRule type="cellIs" dxfId="9" priority="8" operator="greaterThan">
      <formula>0</formula>
    </cfRule>
    <cfRule type="cellIs" dxfId="8" priority="9" operator="greaterThan">
      <formula>0</formula>
    </cfRule>
    <cfRule type="cellIs" dxfId="7" priority="10" operator="equal">
      <formula>0</formula>
    </cfRule>
    <cfRule type="cellIs" dxfId="6" priority="11" operator="lessThan">
      <formula>0</formula>
    </cfRule>
    <cfRule type="cellIs" dxfId="5" priority="12" operator="lessThan">
      <formula>0</formula>
    </cfRule>
    <cfRule type="cellIs" dxfId="4" priority="13" operator="equal">
      <formula>0</formula>
    </cfRule>
    <cfRule type="cellIs" dxfId="3" priority="14" operator="greaterThan">
      <formula>0</formula>
    </cfRule>
  </conditionalFormatting>
  <conditionalFormatting sqref="E58:AC63">
    <cfRule type="cellIs" dxfId="1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AB242"/>
  <sheetViews>
    <sheetView topLeftCell="A223" zoomScaleNormal="100" workbookViewId="0">
      <selection activeCell="A242" sqref="A242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04">
        <v>1</v>
      </c>
      <c r="E1" s="2" t="s">
        <v>103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5.3'!C3</f>
        <v>6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205"/>
      <c r="E2" s="2" t="s">
        <v>104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201" t="s">
        <v>164</v>
      </c>
      <c r="V2" s="201"/>
      <c r="W2" s="201"/>
      <c r="X2" s="201"/>
      <c r="Y2" s="201"/>
      <c r="Z2" s="201"/>
      <c r="AA2" s="201"/>
    </row>
    <row r="3" spans="4:27">
      <c r="D3" s="205"/>
      <c r="E3" s="2" t="s">
        <v>105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200"/>
      <c r="V3" s="200"/>
      <c r="W3" s="200"/>
      <c r="X3" s="200"/>
      <c r="Y3" s="200"/>
      <c r="Z3" s="200"/>
      <c r="AA3" s="200"/>
    </row>
    <row r="4" spans="4:27">
      <c r="D4" s="205"/>
      <c r="E4" s="2" t="s">
        <v>106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200"/>
      <c r="V4" s="200"/>
      <c r="W4" s="200"/>
      <c r="X4" s="200"/>
      <c r="Y4" s="200"/>
      <c r="Z4" s="200"/>
      <c r="AA4" s="200"/>
    </row>
    <row r="5" spans="4:27">
      <c r="D5" s="205"/>
      <c r="E5" s="2" t="s">
        <v>107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200"/>
      <c r="V5" s="200"/>
      <c r="W5" s="200"/>
      <c r="X5" s="200"/>
      <c r="Y5" s="200"/>
      <c r="Z5" s="200"/>
      <c r="AA5" s="200"/>
    </row>
    <row r="6" spans="4:27" ht="15.75" thickBot="1">
      <c r="E6" s="17" t="s">
        <v>161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200"/>
      <c r="V6" s="200"/>
      <c r="W6" s="200"/>
      <c r="X6" s="200"/>
      <c r="Y6" s="200"/>
      <c r="Z6" s="200"/>
      <c r="AA6" s="200"/>
    </row>
    <row r="7" spans="4:27">
      <c r="D7" s="204">
        <v>1</v>
      </c>
      <c r="E7" s="15" t="s">
        <v>0</v>
      </c>
      <c r="F7" s="16"/>
      <c r="H7" s="23"/>
      <c r="I7" s="15" t="s">
        <v>123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200"/>
      <c r="V7" s="200"/>
      <c r="W7" s="200"/>
      <c r="X7" s="200"/>
      <c r="Y7" s="200"/>
      <c r="Z7" s="200"/>
      <c r="AA7" s="200"/>
    </row>
    <row r="8" spans="4:27" ht="15.75" thickBot="1">
      <c r="D8" s="206"/>
      <c r="E8" s="19" t="s">
        <v>1</v>
      </c>
      <c r="F8" s="20"/>
      <c r="H8" s="22"/>
      <c r="I8" s="2" t="s">
        <v>124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200"/>
      <c r="V8" s="200"/>
      <c r="W8" s="200"/>
      <c r="X8" s="200"/>
      <c r="Y8" s="200"/>
      <c r="Z8" s="200"/>
      <c r="AA8" s="200"/>
    </row>
    <row r="9" spans="4:27" ht="15.75" thickBot="1">
      <c r="H9" s="29">
        <v>1</v>
      </c>
      <c r="I9" s="19" t="s">
        <v>125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200"/>
      <c r="V9" s="200"/>
      <c r="W9" s="200"/>
      <c r="X9" s="200"/>
      <c r="Y9" s="200"/>
      <c r="Z9" s="200"/>
      <c r="AA9" s="200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200"/>
      <c r="V10" s="200"/>
      <c r="W10" s="200"/>
      <c r="X10" s="200"/>
      <c r="Y10" s="200"/>
      <c r="Z10" s="200"/>
      <c r="AA10" s="200"/>
    </row>
    <row r="11" spans="4:27">
      <c r="D11" s="23"/>
      <c r="E11" s="15"/>
      <c r="F11" s="202" t="s">
        <v>4</v>
      </c>
      <c r="G11" s="203"/>
      <c r="H11" s="86"/>
      <c r="I11" s="86"/>
      <c r="J11" s="83"/>
      <c r="K11" s="15"/>
      <c r="L11" s="202" t="s">
        <v>5</v>
      </c>
      <c r="M11" s="203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200"/>
      <c r="V11" s="200"/>
      <c r="W11" s="200"/>
      <c r="X11" s="200"/>
      <c r="Y11" s="200"/>
      <c r="Z11" s="200"/>
      <c r="AA11" s="200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200"/>
      <c r="V12" s="200"/>
      <c r="W12" s="200"/>
      <c r="X12" s="200"/>
      <c r="Y12" s="200"/>
      <c r="Z12" s="200"/>
      <c r="AA12" s="200"/>
    </row>
    <row r="13" spans="4:27">
      <c r="D13" s="22" t="b">
        <f>AND($D$1=1,$D$7=1,'Simulazione 5.3'!$C$3&lt;=3,'Simulazione 5.3'!$C$3&gt;=1)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0</v>
      </c>
      <c r="I13" s="86">
        <f t="shared" ref="I13:I18" si="4">IF(D13=TRUE,G13,0)</f>
        <v>0</v>
      </c>
      <c r="J13" s="22" t="b">
        <f>AND($D$1=1,$D$7=2,'Simulazione 5.3'!$C$3&lt;=3,'Simulazione 5.3'!$C$3&gt;=1)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200"/>
      <c r="V13" s="200"/>
      <c r="W13" s="200"/>
      <c r="X13" s="200"/>
      <c r="Y13" s="200"/>
      <c r="Z13" s="200"/>
      <c r="AA13" s="200"/>
    </row>
    <row r="14" spans="4:27">
      <c r="D14" s="22" t="b">
        <f>AND($D$1=1,$D$7=1,'Simulazione 5.3'!$C$3&lt;=20,'Simulazione 5.3'!$C$3&gt;3)</f>
        <v>1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196</v>
      </c>
      <c r="I14" s="86">
        <f t="shared" si="4"/>
        <v>114</v>
      </c>
      <c r="J14" s="22" t="b">
        <f>AND($D$1=1,$D$7=2,'Simulazione 5.3'!$C$3&lt;=20,'Simulazione 5.3'!$C$3&gt;3)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200"/>
      <c r="V14" s="200"/>
      <c r="W14" s="200"/>
      <c r="X14" s="200"/>
      <c r="Y14" s="200"/>
      <c r="Z14" s="200"/>
      <c r="AA14" s="200"/>
    </row>
    <row r="15" spans="4:27" ht="22.5" customHeight="1">
      <c r="D15" s="22" t="b">
        <f>AND($D$1=1,$D$7=1,'Simulazione 5.3'!$C$3&lt;=200,'Simulazione 5.3'!$C$3&gt;20)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5.3'!$C$3&lt;=200,'Simulazione 5.3'!$C$3&gt;20)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200"/>
      <c r="V15" s="200"/>
      <c r="W15" s="200"/>
      <c r="X15" s="200"/>
      <c r="Y15" s="200"/>
      <c r="Z15" s="200"/>
      <c r="AA15" s="200"/>
    </row>
    <row r="16" spans="4:27" ht="13.5" customHeight="1">
      <c r="D16" s="22" t="b">
        <f>AND($D$1=1,$D$7=1,'Simulazione 5.3'!$C$3&lt;=1000,'Simulazione 5.3'!$C$3&gt;200)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5.3'!$C$3&lt;=1000,'Simulazione 5.3'!$C$3&gt;200)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5.3'!$C$3&lt;=5000,'Simulazione 5.3'!$C$3&gt;1000)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5.3'!$C$3&lt;=5000,'Simulazione 5.3'!$C$3&gt;1000)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5.3'!$C$3&gt;=5000)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5.3'!$C$3&gt;=5000)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196</v>
      </c>
      <c r="I19" s="42">
        <f>IF($H$9=1,I13+I14+I15+I16+I17+I18,0)</f>
        <v>114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200"/>
      <c r="G21" s="200"/>
      <c r="H21" s="86"/>
      <c r="I21" s="86"/>
      <c r="K21" s="86"/>
      <c r="L21" s="200"/>
      <c r="M21" s="200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5.3'!$C$3&lt;=3,'Simulazione 5.3'!$C$3&gt;=1)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5.3'!$C$3&lt;=3,'Simulazione 5.3'!$C$3&gt;=1)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5.3'!$C$3&lt;=20,'Simulazione 5.3'!$C$3&gt;3)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5.3'!$C$3&lt;=20,'Simulazione 5.3'!$C$3&gt;3)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5.3'!$C$3&lt;=200,'Simulazione 5.3'!$C$3&gt;20)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5.3'!$C$3&lt;=200,'Simulazione 5.3'!$C$3&gt;20)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5.3'!$C$3&lt;=1000,'Simulazione 5.3'!$C$3&gt;200)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5.3'!$C$3&lt;=1000,'Simulazione 5.3'!$C$3&gt;200)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5.3'!$C$3&lt;=5000,'Simulazione 5.3'!$C$3&gt;1000)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5.3'!$C$3&lt;=5000,'Simulazione 5.3'!$C$3&gt;1000)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5.3'!$C$3&gt;=5000)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5.3'!$C$3&gt;=5000)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75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66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67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5.3'!$C$3&lt;=3,'Simulazione 5.3'!$C$3&gt;=1)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5.3'!$C$3&lt;=3,'Simulazione 5.3'!$C$3&gt;=1)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68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5.3'!$C$3&lt;=20,'Simulazione 5.3'!$C$3&gt;3)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5.3'!$C$3&lt;=20,'Simulazione 5.3'!$C$3&gt;3)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69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5.3'!$C$3&lt;=200,'Simulazione 5.3'!$C$3&gt;20)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5.3'!$C$3&lt;=200,'Simulazione 5.3'!$C$3&gt;20)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70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5.3'!$C$3&lt;=1000,'Simulazione 5.3'!$C$3&gt;200)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5.3'!$C$3&lt;=1000,'Simulazione 5.3'!$C$3&gt;200)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71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5.3'!$C$3&lt;=5000,'Simulazione 5.3'!$C$3&gt;1000)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5.3'!$C$3&lt;=5000,'Simulazione 5.3'!$C$3&gt;1000)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72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5.3'!$C$3&gt;=5000)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5.3'!$C$3&gt;=5000)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73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74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5.3'!$C$3&lt;=3,'Simulazione 5.3'!$C$3&gt;=1)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5.3'!$C$3&lt;=3,'Simulazione 5.3'!$C$3&gt;=1)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5.3'!$C$3&lt;=20,'Simulazione 5.3'!$C$3&gt;3)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5.3'!$C$3&lt;=20,'Simulazione 5.3'!$C$3&gt;3)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5.3'!$C$3&lt;=200,'Simulazione 5.3'!$C$3&gt;20)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5.3'!$C$3&lt;=200,'Simulazione 5.3'!$C$3&gt;20)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77</v>
      </c>
      <c r="S47" s="50"/>
    </row>
    <row r="48" spans="4:21" ht="15.75">
      <c r="D48" s="22" t="b">
        <f>AND($D$1=4,$D$7=1,'Simulazione 5.3'!$C$3&lt;=1000,'Simulazione 5.3'!$C$3&gt;200)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5.3'!$C$3&lt;=1000,'Simulazione 5.3'!$C$3&gt;200)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5.3'!$C$3&lt;=5000,'Simulazione 5.3'!$C$3&gt;1000)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5.3'!$C$3&lt;=5000,'Simulazione 5.3'!$C$3&gt;1000)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5.3'!$C$3&gt;=5000)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5.3'!$C$3&gt;=5000)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7" t="b">
        <f>AND(Q49=1,'Simulazione 5.3'!C31&lt;'Simulazione 5.3'!C30)</f>
        <v>1</v>
      </c>
      <c r="S52" s="6">
        <f>IF(Q52=TRUE,'Simulazione 5.3'!$C$31/100*Calcoli!$S$41,0)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7" t="b">
        <f>AND(Q49=1,'Simulazione 5.3'!C31&gt;='Simulazione 5.3'!C30)</f>
        <v>0</v>
      </c>
      <c r="S53" s="6">
        <f>IF(Q53=TRUE,'Simulazione 5.3'!$C$30/100*Calcoli!$S$41,0)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5.3'!$C$3&lt;=3,'Simulazione 5.3'!$C$3&gt;=1)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5.3'!$C$3&lt;=3,'Simulazione 5.3'!$C$3&gt;=1)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5.3'!$C$3&lt;=20,'Simulazione 5.3'!$C$3&gt;3)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5.3'!$C$3&lt;=20,'Simulazione 5.3'!$C$3&gt;3)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5.3'!$C$3&lt;=200,'Simulazione 5.3'!$C$3&gt;20)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5.3'!$C$3&lt;=200,'Simulazione 5.3'!$C$3&gt;20)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5.3'!$C$3&lt;=1000,'Simulazione 5.3'!$C$3&gt;200)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5.3'!$C$3&lt;=1000,'Simulazione 5.3'!$C$3&gt;200)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5.3'!$C$3&lt;=5000,'Simulazione 5.3'!$C$3&gt;1000)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5.3'!$C$3&lt;=5000,'Simulazione 5.3'!$C$3&gt;1000)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5.3'!$C$3&gt;=5000)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5.3'!$C$3&gt;=5000)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6">
        <f>IF($D$76&gt;1,'Simulazione 5.3'!E58+'Simulazione 5.3'!E59+'Simulazione 5.3'!E60+'Simulazione 5.3'!E62+'Simulazione 5.3'!E63-'Simulazione 5.3'!E66-'Simulazione 5.3'!E71-'Simulazione 5.3'!E72-'Simulazione 5.3'!E73,0)</f>
        <v>0</v>
      </c>
      <c r="E67" s="106">
        <f>IF($D$76&gt;1,'Simulazione 5.3'!F58+'Simulazione 5.3'!F59+'Simulazione 5.3'!F60+'Simulazione 5.3'!F62+'Simulazione 5.3'!F63-'Simulazione 5.3'!F66-'Simulazione 5.3'!F71-'Simulazione 5.3'!F72-'Simulazione 5.3'!F73,0)</f>
        <v>0</v>
      </c>
      <c r="F67" s="106">
        <f>IF($D$76&gt;1,'Simulazione 5.3'!G58+'Simulazione 5.3'!G59+'Simulazione 5.3'!G60+'Simulazione 5.3'!G62+'Simulazione 5.3'!G63-'Simulazione 5.3'!G66-'Simulazione 5.3'!G71-'Simulazione 5.3'!G72-'Simulazione 5.3'!G73,0)</f>
        <v>0</v>
      </c>
      <c r="G67" s="106">
        <f>IF($D$76&gt;1,'Simulazione 5.3'!H58+'Simulazione 5.3'!H59+'Simulazione 5.3'!H60+'Simulazione 5.3'!H62+'Simulazione 5.3'!H63-'Simulazione 5.3'!H66-'Simulazione 5.3'!H71-'Simulazione 5.3'!H72-'Simulazione 5.3'!H73,0)</f>
        <v>0</v>
      </c>
      <c r="H67" s="106">
        <f>IF($D$76&gt;1,'Simulazione 5.3'!I58+'Simulazione 5.3'!I59+'Simulazione 5.3'!I60+'Simulazione 5.3'!I62+'Simulazione 5.3'!I63-'Simulazione 5.3'!I66-'Simulazione 5.3'!I71-'Simulazione 5.3'!I72-'Simulazione 5.3'!I73,0)</f>
        <v>0</v>
      </c>
      <c r="I67" s="106">
        <f>IF($D$76&gt;1,'Simulazione 5.3'!J58+'Simulazione 5.3'!J59+'Simulazione 5.3'!J60+'Simulazione 5.3'!J62+'Simulazione 5.3'!J63-'Simulazione 5.3'!J66-'Simulazione 5.3'!J71-'Simulazione 5.3'!J72-'Simulazione 5.3'!J73,0)</f>
        <v>0</v>
      </c>
      <c r="J67" s="106">
        <f>IF($D$76&gt;1,'Simulazione 5.3'!K58+'Simulazione 5.3'!K59+'Simulazione 5.3'!K60+'Simulazione 5.3'!K62+'Simulazione 5.3'!K63-'Simulazione 5.3'!K66-'Simulazione 5.3'!K71-'Simulazione 5.3'!K72-'Simulazione 5.3'!K73,0)</f>
        <v>0</v>
      </c>
      <c r="K67" s="106">
        <f>IF($D$76&gt;1,'Simulazione 5.3'!L58+'Simulazione 5.3'!L59+'Simulazione 5.3'!L60+'Simulazione 5.3'!L62+'Simulazione 5.3'!L63-'Simulazione 5.3'!L66-'Simulazione 5.3'!L71-'Simulazione 5.3'!L72-'Simulazione 5.3'!L73,0)</f>
        <v>0</v>
      </c>
      <c r="L67" s="106">
        <f>IF($D$76&gt;1,'Simulazione 5.3'!M58+'Simulazione 5.3'!M59+'Simulazione 5.3'!M60+'Simulazione 5.3'!M62+'Simulazione 5.3'!M63-'Simulazione 5.3'!M66-'Simulazione 5.3'!M71-'Simulazione 5.3'!M72-'Simulazione 5.3'!M73,0)</f>
        <v>0</v>
      </c>
      <c r="M67" s="106">
        <f>IF($D$76&gt;1,'Simulazione 5.3'!N58+'Simulazione 5.3'!N59+'Simulazione 5.3'!N60+'Simulazione 5.3'!N62+'Simulazione 5.3'!N63-'Simulazione 5.3'!N66-'Simulazione 5.3'!N71-'Simulazione 5.3'!N72-'Simulazione 5.3'!N73,0)</f>
        <v>0</v>
      </c>
      <c r="N67" s="106">
        <f>IF($D$76&gt;1,'Simulazione 5.3'!O58+'Simulazione 5.3'!O59+'Simulazione 5.3'!O60+'Simulazione 5.3'!O62+'Simulazione 5.3'!O63-'Simulazione 5.3'!O66-'Simulazione 5.3'!O71-'Simulazione 5.3'!O72-'Simulazione 5.3'!O73,0)</f>
        <v>0</v>
      </c>
      <c r="O67" s="106">
        <f>IF($D$76&gt;1,'Simulazione 5.3'!P58+'Simulazione 5.3'!P59+'Simulazione 5.3'!P60+'Simulazione 5.3'!P62+'Simulazione 5.3'!P63-'Simulazione 5.3'!P66-'Simulazione 5.3'!P71-'Simulazione 5.3'!P72-'Simulazione 5.3'!P73,0)</f>
        <v>0</v>
      </c>
      <c r="P67" s="106">
        <f>IF($D$76&gt;1,'Simulazione 5.3'!Q58+'Simulazione 5.3'!Q59+'Simulazione 5.3'!Q60+'Simulazione 5.3'!Q62+'Simulazione 5.3'!Q63-'Simulazione 5.3'!Q66-'Simulazione 5.3'!Q71-'Simulazione 5.3'!Q72-'Simulazione 5.3'!Q73,0)</f>
        <v>0</v>
      </c>
      <c r="Q67" s="106">
        <f>IF($D$76&gt;1,'Simulazione 5.3'!R58+'Simulazione 5.3'!R59+'Simulazione 5.3'!R60+'Simulazione 5.3'!R62+'Simulazione 5.3'!R63-'Simulazione 5.3'!R66-'Simulazione 5.3'!R71-'Simulazione 5.3'!R72-'Simulazione 5.3'!R73,0)</f>
        <v>0</v>
      </c>
      <c r="R67" s="106">
        <f>IF($D$76&gt;1,'Simulazione 5.3'!S58+'Simulazione 5.3'!S59+'Simulazione 5.3'!S60+'Simulazione 5.3'!S62+'Simulazione 5.3'!S63-'Simulazione 5.3'!S66-'Simulazione 5.3'!S71-'Simulazione 5.3'!S72-'Simulazione 5.3'!S73,0)</f>
        <v>0</v>
      </c>
      <c r="S67" s="106">
        <f>IF($D$76&gt;1,'Simulazione 5.3'!T58+'Simulazione 5.3'!T59+'Simulazione 5.3'!T60+'Simulazione 5.3'!T62+'Simulazione 5.3'!T63-'Simulazione 5.3'!T66-'Simulazione 5.3'!T71-'Simulazione 5.3'!T72-'Simulazione 5.3'!T73,0)</f>
        <v>0</v>
      </c>
      <c r="T67" s="106">
        <f>IF($D$76&gt;1,'Simulazione 5.3'!U58+'Simulazione 5.3'!U59+'Simulazione 5.3'!U60+'Simulazione 5.3'!U62+'Simulazione 5.3'!U63-'Simulazione 5.3'!U66-'Simulazione 5.3'!U71-'Simulazione 5.3'!U72-'Simulazione 5.3'!U73,0)</f>
        <v>0</v>
      </c>
      <c r="U67" s="106">
        <f>IF($D$76&gt;1,'Simulazione 5.3'!V58+'Simulazione 5.3'!V59+'Simulazione 5.3'!V60+'Simulazione 5.3'!V62+'Simulazione 5.3'!V63-'Simulazione 5.3'!V66-'Simulazione 5.3'!V71-'Simulazione 5.3'!V72-'Simulazione 5.3'!V73,0)</f>
        <v>0</v>
      </c>
      <c r="V67" s="106">
        <f>IF($D$76&gt;1,'Simulazione 5.3'!W58+'Simulazione 5.3'!W59+'Simulazione 5.3'!W60+'Simulazione 5.3'!W62+'Simulazione 5.3'!W63-'Simulazione 5.3'!W66-'Simulazione 5.3'!W71-'Simulazione 5.3'!W72-'Simulazione 5.3'!W73,0)</f>
        <v>0</v>
      </c>
      <c r="W67" s="106">
        <f>IF($D$76&gt;1,'Simulazione 5.3'!X58+'Simulazione 5.3'!X59+'Simulazione 5.3'!X60+'Simulazione 5.3'!X62+'Simulazione 5.3'!X63-'Simulazione 5.3'!X66-'Simulazione 5.3'!X71-'Simulazione 5.3'!X72-'Simulazione 5.3'!X73,0)</f>
        <v>0</v>
      </c>
      <c r="X67" s="106">
        <f>IF($D$76&gt;1,'Simulazione 5.3'!Y58+'Simulazione 5.3'!Y59+'Simulazione 5.3'!Y60+'Simulazione 5.3'!Y62+'Simulazione 5.3'!Y63-'Simulazione 5.3'!Y66-'Simulazione 5.3'!Y71-'Simulazione 5.3'!Y72-'Simulazione 5.3'!Y73,0)</f>
        <v>0</v>
      </c>
      <c r="Y67" s="106">
        <f>IF($D$76&gt;1,'Simulazione 5.3'!Z58+'Simulazione 5.3'!Z59+'Simulazione 5.3'!Z60+'Simulazione 5.3'!Z62+'Simulazione 5.3'!Z63-'Simulazione 5.3'!Z66-'Simulazione 5.3'!Z71-'Simulazione 5.3'!Z72-'Simulazione 5.3'!Z73,0)</f>
        <v>0</v>
      </c>
      <c r="Z67" s="106">
        <f>IF($D$76&gt;1,'Simulazione 5.3'!AA58+'Simulazione 5.3'!AA59+'Simulazione 5.3'!AA60+'Simulazione 5.3'!AA62+'Simulazione 5.3'!AA63-'Simulazione 5.3'!AA66-'Simulazione 5.3'!AA71-'Simulazione 5.3'!AA72-'Simulazione 5.3'!AA73,0)</f>
        <v>0</v>
      </c>
      <c r="AA67" s="106">
        <f>IF($D$76&gt;1,'Simulazione 5.3'!AB58+'Simulazione 5.3'!AB59+'Simulazione 5.3'!AB60+'Simulazione 5.3'!AB62+'Simulazione 5.3'!AB63-'Simulazione 5.3'!AB66-'Simulazione 5.3'!AB71-'Simulazione 5.3'!AB72-'Simulazione 5.3'!AB73,0)</f>
        <v>0</v>
      </c>
      <c r="AB67" s="106">
        <f>IF($D$76&gt;1,'Simulazione 5.3'!AC58+'Simulazione 5.3'!AC59+'Simulazione 5.3'!AC60+'Simulazione 5.3'!AC62+'Simulazione 5.3'!AC63-'Simulazione 5.3'!AC66-'Simulazione 5.3'!AC71-'Simulazione 5.3'!AC72-'Simulazione 5.3'!AC73,0)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94</v>
      </c>
    </row>
    <row r="71" spans="3:28">
      <c r="C71" s="6">
        <v>2</v>
      </c>
      <c r="D71" s="6" t="s">
        <v>118</v>
      </c>
      <c r="I71" s="68" t="s">
        <v>91</v>
      </c>
      <c r="L71" s="68" t="s">
        <v>134</v>
      </c>
      <c r="N71" s="6" t="s">
        <v>138</v>
      </c>
    </row>
    <row r="72" spans="3:28">
      <c r="C72" s="6">
        <v>3</v>
      </c>
      <c r="D72" s="6" t="s">
        <v>117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5.3'!$C$3&lt;=50)</f>
        <v>1</v>
      </c>
      <c r="O72" s="6">
        <v>120</v>
      </c>
      <c r="P72" s="6">
        <f>IF(N72=TRUE,O72,0)</f>
        <v>120</v>
      </c>
    </row>
    <row r="73" spans="3:28">
      <c r="C73" s="6">
        <v>4</v>
      </c>
      <c r="D73" s="6" t="s">
        <v>116</v>
      </c>
      <c r="I73" s="68" t="s">
        <v>131</v>
      </c>
      <c r="M73" s="6">
        <v>2</v>
      </c>
      <c r="N73" s="6" t="b">
        <f>AND('Simulazione 5.3'!$C$3&lt;=100,'Simulazione 5.3'!$C$3&gt;50)</f>
        <v>0</v>
      </c>
      <c r="O73" s="6">
        <v>240</v>
      </c>
      <c r="P73" s="6">
        <f>IF(N73=TRUE,O73,0)</f>
        <v>0</v>
      </c>
      <c r="Q73" s="115"/>
    </row>
    <row r="74" spans="3:28">
      <c r="C74" s="6">
        <v>5</v>
      </c>
      <c r="D74" s="6" t="s">
        <v>172</v>
      </c>
      <c r="I74" s="6" t="b">
        <f>OR(D76=3,D76=4,D76=5)</f>
        <v>0</v>
      </c>
      <c r="M74" s="6">
        <v>3</v>
      </c>
      <c r="N74" s="6" t="b">
        <f>AND('Simulazione 5.3'!$C$3&lt;=500,'Simulazione 5.3'!$C$3&gt;100)</f>
        <v>0</v>
      </c>
      <c r="O74" s="6">
        <v>500</v>
      </c>
      <c r="P74" s="6">
        <f>IF(N74=TRUE,O74,0)</f>
        <v>0</v>
      </c>
      <c r="Q74" s="115"/>
    </row>
    <row r="75" spans="3:28">
      <c r="C75" s="6">
        <v>6</v>
      </c>
      <c r="D75" s="6" t="s">
        <v>130</v>
      </c>
      <c r="I75" s="68" t="s">
        <v>132</v>
      </c>
      <c r="M75" s="6">
        <v>4</v>
      </c>
      <c r="N75" s="6" t="b">
        <f>AND('Simulazione 5.3'!$C$3&lt;=1000,'Simulazione 5.3'!$C$3&gt;500)</f>
        <v>0</v>
      </c>
      <c r="O75" s="6">
        <v>1500</v>
      </c>
      <c r="P75" s="6">
        <f>IF(N75=TRUE,O75,0)</f>
        <v>0</v>
      </c>
      <c r="Q75" s="117"/>
    </row>
    <row r="76" spans="3:28">
      <c r="D76" s="97">
        <v>1</v>
      </c>
      <c r="I76" s="6" t="b">
        <f>OR(D76=2,D76=3)</f>
        <v>0</v>
      </c>
      <c r="M76" s="6">
        <v>5</v>
      </c>
      <c r="N76" s="6" t="b">
        <f>AND('Simulazione 5.3'!$C$3&gt;1000)</f>
        <v>0</v>
      </c>
      <c r="O76" s="6">
        <v>2500</v>
      </c>
      <c r="P76" s="6">
        <f>IF(N76=TRUE,O76,0)</f>
        <v>0</v>
      </c>
    </row>
    <row r="77" spans="3:28">
      <c r="I77" s="68" t="s">
        <v>133</v>
      </c>
      <c r="O77" s="6">
        <f>'Simulazione 5.3'!C3-'Simulazione 5.3'!C4</f>
        <v>3</v>
      </c>
      <c r="P77" s="68">
        <f>SUM(P72:P76)</f>
        <v>120</v>
      </c>
    </row>
    <row r="78" spans="3:28">
      <c r="D78" s="6" t="s">
        <v>88</v>
      </c>
      <c r="F78" s="6">
        <f>'Simulazione 5.3'!C3*'Simulazione 5.3'!C37</f>
        <v>12000</v>
      </c>
      <c r="I78" s="6" t="b">
        <f>OR(D76=4,D76=5)</f>
        <v>0</v>
      </c>
    </row>
    <row r="79" spans="3:28">
      <c r="D79" s="6" t="s">
        <v>87</v>
      </c>
      <c r="F79" s="6">
        <f>IF(D76&gt;1,('Simulazione 5.3'!C37*'Simulazione 5.3'!C3)/100*'Simulazione 5.3'!$K$9,0)</f>
        <v>0</v>
      </c>
    </row>
    <row r="81" spans="3:28">
      <c r="D81" s="106">
        <f>$F$78</f>
        <v>12000</v>
      </c>
      <c r="E81" s="106">
        <f>$F$78</f>
        <v>12000</v>
      </c>
      <c r="F81" s="106">
        <f>$F$78</f>
        <v>12000</v>
      </c>
      <c r="G81" s="106">
        <f t="shared" ref="G81:AB81" si="35">$F$78</f>
        <v>12000</v>
      </c>
      <c r="H81" s="106">
        <f t="shared" si="35"/>
        <v>12000</v>
      </c>
      <c r="I81" s="106">
        <f t="shared" si="35"/>
        <v>12000</v>
      </c>
      <c r="J81" s="106">
        <f t="shared" si="35"/>
        <v>12000</v>
      </c>
      <c r="K81" s="106">
        <f t="shared" si="35"/>
        <v>12000</v>
      </c>
      <c r="L81" s="106">
        <f t="shared" si="35"/>
        <v>12000</v>
      </c>
      <c r="M81" s="106">
        <f t="shared" si="35"/>
        <v>12000</v>
      </c>
      <c r="N81" s="106">
        <f t="shared" si="35"/>
        <v>12000</v>
      </c>
      <c r="O81" s="106">
        <f t="shared" si="35"/>
        <v>12000</v>
      </c>
      <c r="P81" s="106">
        <f t="shared" si="35"/>
        <v>12000</v>
      </c>
      <c r="Q81" s="106">
        <f t="shared" si="35"/>
        <v>12000</v>
      </c>
      <c r="R81" s="106">
        <f t="shared" si="35"/>
        <v>12000</v>
      </c>
      <c r="S81" s="106">
        <f t="shared" si="35"/>
        <v>12000</v>
      </c>
      <c r="T81" s="106">
        <f t="shared" si="35"/>
        <v>12000</v>
      </c>
      <c r="U81" s="106">
        <f t="shared" si="35"/>
        <v>12000</v>
      </c>
      <c r="V81" s="106">
        <f t="shared" si="35"/>
        <v>12000</v>
      </c>
      <c r="W81" s="106">
        <f t="shared" si="35"/>
        <v>12000</v>
      </c>
      <c r="X81" s="106">
        <f t="shared" si="35"/>
        <v>12000</v>
      </c>
      <c r="Y81" s="106">
        <f t="shared" si="35"/>
        <v>12000</v>
      </c>
      <c r="Z81" s="106">
        <f t="shared" si="35"/>
        <v>12000</v>
      </c>
      <c r="AA81" s="106">
        <f t="shared" si="35"/>
        <v>12000</v>
      </c>
      <c r="AB81" s="106">
        <f t="shared" si="35"/>
        <v>12000</v>
      </c>
    </row>
    <row r="82" spans="3:28">
      <c r="C82" s="106"/>
      <c r="D82" s="106">
        <f>$F$78/100*'Simulazione 5.3'!$K$9/2</f>
        <v>540</v>
      </c>
      <c r="E82" s="106">
        <f>D82+$F$79</f>
        <v>540</v>
      </c>
      <c r="F82" s="106">
        <f t="shared" ref="F82:W82" si="36">E82+$F$79</f>
        <v>540</v>
      </c>
      <c r="G82" s="106">
        <f t="shared" si="36"/>
        <v>540</v>
      </c>
      <c r="H82" s="106">
        <f t="shared" si="36"/>
        <v>540</v>
      </c>
      <c r="I82" s="106">
        <f t="shared" si="36"/>
        <v>540</v>
      </c>
      <c r="J82" s="106">
        <f t="shared" si="36"/>
        <v>540</v>
      </c>
      <c r="K82" s="106">
        <f t="shared" si="36"/>
        <v>540</v>
      </c>
      <c r="L82" s="106">
        <f t="shared" si="36"/>
        <v>540</v>
      </c>
      <c r="M82" s="106">
        <f t="shared" si="36"/>
        <v>540</v>
      </c>
      <c r="N82" s="106">
        <f t="shared" si="36"/>
        <v>540</v>
      </c>
      <c r="O82" s="106">
        <f t="shared" si="36"/>
        <v>540</v>
      </c>
      <c r="P82" s="106">
        <f t="shared" si="36"/>
        <v>540</v>
      </c>
      <c r="Q82" s="106">
        <f t="shared" si="36"/>
        <v>540</v>
      </c>
      <c r="R82" s="106">
        <f t="shared" si="36"/>
        <v>540</v>
      </c>
      <c r="S82" s="106">
        <f t="shared" si="36"/>
        <v>540</v>
      </c>
      <c r="T82" s="106">
        <f t="shared" si="36"/>
        <v>540</v>
      </c>
      <c r="U82" s="106">
        <f t="shared" si="36"/>
        <v>540</v>
      </c>
      <c r="V82" s="106">
        <f t="shared" si="36"/>
        <v>540</v>
      </c>
      <c r="W82" s="106">
        <f t="shared" si="36"/>
        <v>540</v>
      </c>
      <c r="X82" s="106">
        <f t="shared" ref="X82" si="37">W82+$F$79</f>
        <v>540</v>
      </c>
      <c r="Y82" s="106">
        <f t="shared" ref="Y82" si="38">X82+$F$79</f>
        <v>540</v>
      </c>
      <c r="Z82" s="106">
        <f t="shared" ref="Z82" si="39">Y82+$F$79</f>
        <v>540</v>
      </c>
      <c r="AA82" s="106">
        <f t="shared" ref="AA82" si="40">Z82+$F$79</f>
        <v>540</v>
      </c>
      <c r="AB82" s="106">
        <f t="shared" ref="AB82" si="41">AA82+$F$79</f>
        <v>540</v>
      </c>
    </row>
    <row r="83" spans="3:28"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3:28"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3:28">
      <c r="D85" s="106">
        <f>IF(D82&lt;D81,1,0)</f>
        <v>1</v>
      </c>
      <c r="E85" s="106">
        <f t="shared" ref="E85:W85" si="42">IF(E82&lt;E81,1,0)</f>
        <v>1</v>
      </c>
      <c r="F85" s="106">
        <f t="shared" si="42"/>
        <v>1</v>
      </c>
      <c r="G85" s="106">
        <f t="shared" si="42"/>
        <v>1</v>
      </c>
      <c r="H85" s="106">
        <f t="shared" si="42"/>
        <v>1</v>
      </c>
      <c r="I85" s="106">
        <f t="shared" si="42"/>
        <v>1</v>
      </c>
      <c r="J85" s="106">
        <f t="shared" si="42"/>
        <v>1</v>
      </c>
      <c r="K85" s="106">
        <f t="shared" si="42"/>
        <v>1</v>
      </c>
      <c r="L85" s="106">
        <f t="shared" si="42"/>
        <v>1</v>
      </c>
      <c r="M85" s="106">
        <f t="shared" si="42"/>
        <v>1</v>
      </c>
      <c r="N85" s="106">
        <f t="shared" si="42"/>
        <v>1</v>
      </c>
      <c r="O85" s="106">
        <f t="shared" si="42"/>
        <v>1</v>
      </c>
      <c r="P85" s="106">
        <f t="shared" si="42"/>
        <v>1</v>
      </c>
      <c r="Q85" s="106">
        <f t="shared" si="42"/>
        <v>1</v>
      </c>
      <c r="R85" s="106">
        <f t="shared" si="42"/>
        <v>1</v>
      </c>
      <c r="S85" s="106">
        <f t="shared" si="42"/>
        <v>1</v>
      </c>
      <c r="T85" s="106">
        <f t="shared" si="42"/>
        <v>1</v>
      </c>
      <c r="U85" s="106">
        <f t="shared" si="42"/>
        <v>1</v>
      </c>
      <c r="V85" s="106">
        <f t="shared" si="42"/>
        <v>1</v>
      </c>
      <c r="W85" s="106">
        <f t="shared" si="42"/>
        <v>1</v>
      </c>
      <c r="X85" s="106">
        <f t="shared" ref="X85:AB85" si="43">IF(X82&lt;X81,1,0)</f>
        <v>1</v>
      </c>
      <c r="Y85" s="106">
        <f t="shared" si="43"/>
        <v>1</v>
      </c>
      <c r="Z85" s="106">
        <f t="shared" si="43"/>
        <v>1</v>
      </c>
      <c r="AA85" s="106">
        <f t="shared" si="43"/>
        <v>1</v>
      </c>
      <c r="AB85" s="106">
        <f t="shared" si="43"/>
        <v>1</v>
      </c>
    </row>
    <row r="86" spans="3:28">
      <c r="D86" s="106">
        <f>IF(Calcoli!$D$76&gt;1,Calcoli!$F$79/2,0)</f>
        <v>0</v>
      </c>
      <c r="E86" s="106">
        <f>IF(Calcoli!$D$76&gt;1,Calcoli!$F$79,0)</f>
        <v>0</v>
      </c>
      <c r="F86" s="106">
        <f>IF(Calcoli!$D$76&gt;1,Calcoli!$F$79,0)</f>
        <v>0</v>
      </c>
      <c r="G86" s="106">
        <f>IF(Calcoli!$D$76&gt;1,Calcoli!$F$79,0)</f>
        <v>0</v>
      </c>
      <c r="H86" s="106">
        <f>IF(Calcoli!$D$76&gt;1,Calcoli!$F$79,0)</f>
        <v>0</v>
      </c>
      <c r="I86" s="106">
        <f>IF(Calcoli!$D$76&gt;1,Calcoli!$F$79,0)</f>
        <v>0</v>
      </c>
      <c r="J86" s="106">
        <f>IF(Calcoli!$D$76&gt;1,Calcoli!$F$79,0)</f>
        <v>0</v>
      </c>
      <c r="K86" s="106">
        <f>IF(Calcoli!$D$76&gt;1,Calcoli!$F$79,0)</f>
        <v>0</v>
      </c>
      <c r="L86" s="106">
        <f>IF(Calcoli!$D$76&gt;1,Calcoli!$F$79,0)</f>
        <v>0</v>
      </c>
      <c r="M86" s="106">
        <f>IF(Calcoli!$D$76&gt;1,Calcoli!$F$79,0)</f>
        <v>0</v>
      </c>
      <c r="N86" s="106">
        <f>IF(Calcoli!$D$76&gt;1,Calcoli!$F$79,0)</f>
        <v>0</v>
      </c>
      <c r="O86" s="106">
        <f>IF(Calcoli!$D$76&gt;1,Calcoli!$F$79,0)</f>
        <v>0</v>
      </c>
      <c r="P86" s="106">
        <f>IF(Calcoli!$D$76&gt;1,Calcoli!$F$79,0)</f>
        <v>0</v>
      </c>
      <c r="Q86" s="106">
        <f>IF(Calcoli!$D$76&gt;1,Calcoli!$F$79,0)</f>
        <v>0</v>
      </c>
      <c r="R86" s="106">
        <f>IF(Calcoli!$D$76&gt;1,Calcoli!$F$79,0)</f>
        <v>0</v>
      </c>
      <c r="S86" s="106">
        <f>IF(Calcoli!$D$76&gt;1,Calcoli!$F$79,0)</f>
        <v>0</v>
      </c>
      <c r="T86" s="106">
        <f>IF(Calcoli!$D$76&gt;1,Calcoli!$F$79,0)</f>
        <v>0</v>
      </c>
      <c r="U86" s="106">
        <f>IF(Calcoli!$D$76&gt;1,Calcoli!$F$79,0)</f>
        <v>0</v>
      </c>
      <c r="V86" s="106">
        <f>IF(Calcoli!$D$76&gt;1,Calcoli!$F$79,0)</f>
        <v>0</v>
      </c>
      <c r="W86" s="106">
        <f>IF(Calcoli!$D$76&gt;1,Calcoli!$F$79,0)</f>
        <v>0</v>
      </c>
      <c r="X86" s="106">
        <f>IF(Calcoli!$D$76&gt;1,Calcoli!$F$79,0)</f>
        <v>0</v>
      </c>
      <c r="Y86" s="106">
        <f>IF(Calcoli!$D$76&gt;1,Calcoli!$F$79,0)</f>
        <v>0</v>
      </c>
      <c r="Z86" s="106">
        <f>IF(Calcoli!$D$76&gt;1,Calcoli!$F$79,0)</f>
        <v>0</v>
      </c>
      <c r="AA86" s="106">
        <f>IF(Calcoli!$D$76&gt;1,Calcoli!$F$79,0)</f>
        <v>0</v>
      </c>
      <c r="AB86" s="106">
        <f>IF(Calcoli!$D$76&gt;1,Calcoli!$F$79,0)</f>
        <v>0</v>
      </c>
    </row>
    <row r="87" spans="3:28" ht="10.5" customHeight="1"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7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3:28">
      <c r="D88" s="106">
        <f>IF(D85=1,D86,0)</f>
        <v>0</v>
      </c>
      <c r="E88" s="106">
        <f>IF(E85=1,E86,$F$78-(D88))</f>
        <v>0</v>
      </c>
      <c r="F88" s="106">
        <f>IF(F85=1,F86,$F$78-(E88+D88))</f>
        <v>0</v>
      </c>
      <c r="G88" s="106">
        <f>IF(G85=1,G86,$F$78-(F88+E88+D88))</f>
        <v>0</v>
      </c>
      <c r="H88" s="106">
        <f>IF(H85=1,H86,$F$78-(G88+F88+E88+D88))</f>
        <v>0</v>
      </c>
      <c r="I88" s="106">
        <f>IF(I85=1,I86,$F$78-(H88+G88+F88+E88+D88))</f>
        <v>0</v>
      </c>
      <c r="J88" s="106">
        <f>IF(J85=1,J86,$F$78-(I88+H88+G88+F88+E88+D88))</f>
        <v>0</v>
      </c>
      <c r="K88" s="106">
        <f>IF(K85=1,K86,$F$78-(J88+I88+H88+G88+F88+E88+D88))</f>
        <v>0</v>
      </c>
      <c r="L88" s="106">
        <f>IF(L85=1,L86,$F$78-(K88+J88+I88+H88+G88+F88+E88+D88))</f>
        <v>0</v>
      </c>
      <c r="M88" s="106">
        <f>IF(M85=1,M86,$F$78-(L88+K88+J88+I88+H88+G88+F88+E88+D88))</f>
        <v>0</v>
      </c>
      <c r="N88" s="106">
        <f>IF(N85=1,N86,$F$78-(M88+L88+K88+J88+I88+H88+G88+F88+E88+D88))</f>
        <v>0</v>
      </c>
      <c r="O88" s="106">
        <f>IF(O85=1,O86,$F$78-(N88+M88+L88+K88+J88+I88+H88+G88+F88+E88+D88))</f>
        <v>0</v>
      </c>
      <c r="P88" s="106">
        <f>IF(P85=1,P86,$F$78-(O88+N88+M88+L88+K88+J88+I88+H88+G88+F88+E88+D88))</f>
        <v>0</v>
      </c>
      <c r="Q88" s="106">
        <f>IF(Q85=1,Q86,$F$78-(P88+O88+N88+M88+L88+K88+J88+I88+H88+G88+F88+E88+D88))</f>
        <v>0</v>
      </c>
      <c r="R88" s="106">
        <f>IF(R85=1,R86,$F$78-(Q88+P88+O88+N88+M88+L88+K88+J88+I88+H88+G88+F88+E88+D88))</f>
        <v>0</v>
      </c>
      <c r="S88" s="106">
        <f>IF(S85=1,S86,$F$78-(R88+Q88+P88+O88+N88+M88+L88+K88+J88+I88+H88+G88+F88+E88+D88))</f>
        <v>0</v>
      </c>
      <c r="T88" s="106">
        <f>IF(T85=1,T86,$F$78-(S88+R88+Q88+P88+O88+N88+M88+L88+K88+J88+I88+H88+G88+F88+E88+D88))</f>
        <v>0</v>
      </c>
      <c r="U88" s="106">
        <f>IF(U85=1,U86,$F$78-(T88+S88+R88+Q88+P88+O88+N88+M88+L88+K88+J88+I88+H88+G88+F88+E88+D88))</f>
        <v>0</v>
      </c>
      <c r="V88" s="106">
        <f>IF(V85=1,V86,$F$78-(U88+T88+S88+R88+Q88+P88+O88+N88+M88+L88+K88+J88+I88+H88+G88+F88+E88+D88))</f>
        <v>0</v>
      </c>
      <c r="W88" s="106">
        <f>IF(W85=1,W86,$F$78-(V88+U88+T88+S88+R88+Q88+P88+O88+N88+M88+L88+K88+J88+I88+H88+G88+F88+E88+D88))</f>
        <v>0</v>
      </c>
      <c r="X88" s="106">
        <f>IF(X85=1,X86,$F$78-(W88+V88+U88+T88+S88+R88+Q88+P88+O88+N88+M88+L88+K88+J88+I88+H88+G88+F88+E88+D88))</f>
        <v>0</v>
      </c>
      <c r="Y88" s="106">
        <f>IF(Y85=1,Y86,$F$78-(X88+W88+V88+U88+T88+S88+R88+Q88+P88+O88+N88+M88+L88+K88+J88+I88+H88+G88+F88+E88+D88))</f>
        <v>0</v>
      </c>
      <c r="Z88" s="106">
        <f>IF(Z85=1,Z86,$F$78-(Y88+X88+W88+V88+U88+T88+S88+R88+Q88+P88+O88+N88+M88+L88+K88+J88+I88+H88+G88+F88+E88+D88))</f>
        <v>0</v>
      </c>
      <c r="AA88" s="106">
        <f>IF(AA85=1,AA86,$F$78-(Z88+Y88+X88+W88+V88+U88+T88+S88+R88+Q88+P88+O88+N88+M88+L88+K88+J88+I88+H88+G88+F88+E88+D88))</f>
        <v>0</v>
      </c>
      <c r="AB88" s="106">
        <f>IF(AB85=1,AB86,$F$78-(AA88+Z88+Y88+X88+W88+V88+U88+T88+S88+R88+Q88+P88+O88+N88+M88+L88+K88+J88+I88+H88+G88+F88+E88+D88))</f>
        <v>0</v>
      </c>
    </row>
    <row r="90" spans="3:28">
      <c r="N90" s="106"/>
      <c r="O90" s="106"/>
    </row>
    <row r="91" spans="3:28">
      <c r="F91" s="106"/>
    </row>
    <row r="92" spans="3:28">
      <c r="D92" s="106">
        <f>'Simulazione 5.3'!E67</f>
        <v>0</v>
      </c>
      <c r="E92" s="106">
        <f>'Simulazione 5.3'!F67</f>
        <v>0</v>
      </c>
      <c r="F92" s="106">
        <f>'Simulazione 5.3'!G67</f>
        <v>0</v>
      </c>
      <c r="G92" s="106">
        <f>'Simulazione 5.3'!H67</f>
        <v>0</v>
      </c>
      <c r="H92" s="106">
        <f>'Simulazione 5.3'!I67</f>
        <v>0</v>
      </c>
      <c r="I92" s="106">
        <f>'Simulazione 5.3'!J67</f>
        <v>0</v>
      </c>
      <c r="J92" s="106">
        <f>'Simulazione 5.3'!K67</f>
        <v>0</v>
      </c>
      <c r="K92" s="106">
        <f>'Simulazione 5.3'!L67</f>
        <v>0</v>
      </c>
      <c r="L92" s="106">
        <f>'Simulazione 5.3'!M67</f>
        <v>0</v>
      </c>
      <c r="M92" s="106">
        <f>'Simulazione 5.3'!N67</f>
        <v>0</v>
      </c>
      <c r="N92" s="106">
        <f>'Simulazione 5.3'!O67</f>
        <v>0</v>
      </c>
      <c r="O92" s="106">
        <f>'Simulazione 5.3'!P67</f>
        <v>0</v>
      </c>
      <c r="P92" s="106">
        <f>'Simulazione 5.3'!Q67</f>
        <v>0</v>
      </c>
      <c r="Q92" s="106">
        <f>'Simulazione 5.3'!R67</f>
        <v>0</v>
      </c>
      <c r="R92" s="106">
        <f>'Simulazione 5.3'!S67</f>
        <v>0</v>
      </c>
      <c r="S92" s="106">
        <f>'Simulazione 5.3'!T67</f>
        <v>0</v>
      </c>
      <c r="T92" s="106">
        <f>'Simulazione 5.3'!U67</f>
        <v>0</v>
      </c>
      <c r="U92" s="106">
        <f>'Simulazione 5.3'!V67</f>
        <v>0</v>
      </c>
      <c r="V92" s="106">
        <f>'Simulazione 5.3'!W67</f>
        <v>0</v>
      </c>
      <c r="W92" s="106">
        <f>'Simulazione 5.3'!X67</f>
        <v>0</v>
      </c>
      <c r="X92" s="106">
        <f>'Simulazione 5.3'!Y67</f>
        <v>0</v>
      </c>
      <c r="Y92" s="106">
        <f>'Simulazione 5.3'!Z67</f>
        <v>0</v>
      </c>
      <c r="Z92" s="106">
        <f>'Simulazione 5.3'!AA67</f>
        <v>0</v>
      </c>
      <c r="AA92" s="106">
        <f>'Simulazione 5.3'!AB67</f>
        <v>0</v>
      </c>
      <c r="AB92" s="106">
        <f>'Simulazione 5.3'!AC67</f>
        <v>0</v>
      </c>
    </row>
    <row r="93" spans="3:28"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3:28">
      <c r="C94" s="6" t="s">
        <v>109</v>
      </c>
      <c r="D94" s="107" t="b">
        <f>AND(D92&lt;15000)</f>
        <v>1</v>
      </c>
      <c r="E94" s="107" t="b">
        <f t="shared" ref="E94:W94" si="44">AND(E92&lt;15000)</f>
        <v>1</v>
      </c>
      <c r="F94" s="107" t="b">
        <f t="shared" si="44"/>
        <v>1</v>
      </c>
      <c r="G94" s="107" t="b">
        <f t="shared" si="44"/>
        <v>1</v>
      </c>
      <c r="H94" s="107" t="b">
        <f t="shared" si="44"/>
        <v>1</v>
      </c>
      <c r="I94" s="107" t="b">
        <f t="shared" si="44"/>
        <v>1</v>
      </c>
      <c r="J94" s="107" t="b">
        <f t="shared" si="44"/>
        <v>1</v>
      </c>
      <c r="K94" s="107" t="b">
        <f t="shared" si="44"/>
        <v>1</v>
      </c>
      <c r="L94" s="107" t="b">
        <f t="shared" si="44"/>
        <v>1</v>
      </c>
      <c r="M94" s="107" t="b">
        <f t="shared" si="44"/>
        <v>1</v>
      </c>
      <c r="N94" s="107" t="b">
        <f t="shared" si="44"/>
        <v>1</v>
      </c>
      <c r="O94" s="107" t="b">
        <f t="shared" si="44"/>
        <v>1</v>
      </c>
      <c r="P94" s="107" t="b">
        <f t="shared" si="44"/>
        <v>1</v>
      </c>
      <c r="Q94" s="107" t="b">
        <f t="shared" si="44"/>
        <v>1</v>
      </c>
      <c r="R94" s="107" t="b">
        <f t="shared" si="44"/>
        <v>1</v>
      </c>
      <c r="S94" s="107" t="b">
        <f t="shared" si="44"/>
        <v>1</v>
      </c>
      <c r="T94" s="107" t="b">
        <f t="shared" si="44"/>
        <v>1</v>
      </c>
      <c r="U94" s="107" t="b">
        <f t="shared" si="44"/>
        <v>1</v>
      </c>
      <c r="V94" s="107" t="b">
        <f t="shared" si="44"/>
        <v>1</v>
      </c>
      <c r="W94" s="107" t="b">
        <f t="shared" si="44"/>
        <v>1</v>
      </c>
      <c r="X94" s="107" t="b">
        <f t="shared" ref="X94:AB94" si="45">AND(X92&lt;15000)</f>
        <v>1</v>
      </c>
      <c r="Y94" s="107" t="b">
        <f t="shared" si="45"/>
        <v>1</v>
      </c>
      <c r="Z94" s="107" t="b">
        <f t="shared" si="45"/>
        <v>1</v>
      </c>
      <c r="AA94" s="107" t="b">
        <f t="shared" si="45"/>
        <v>1</v>
      </c>
      <c r="AB94" s="107" t="b">
        <f t="shared" si="45"/>
        <v>1</v>
      </c>
    </row>
    <row r="95" spans="3:28">
      <c r="C95" s="106"/>
      <c r="D95" s="107">
        <f>IF(D94=TRUE,D92/100*'Simulazione 5.3'!$L$13,0)</f>
        <v>0</v>
      </c>
      <c r="E95" s="107">
        <f>IF(E94=TRUE,E92/100*'Simulazione 5.3'!$L$13,0)</f>
        <v>0</v>
      </c>
      <c r="F95" s="107">
        <f>IF(F94=TRUE,F92/100*'Simulazione 5.3'!$L$13,0)</f>
        <v>0</v>
      </c>
      <c r="G95" s="107">
        <f>IF(G94=TRUE,G92/100*'Simulazione 5.3'!$L$13,0)</f>
        <v>0</v>
      </c>
      <c r="H95" s="107">
        <f>IF(H94=TRUE,H92/100*'Simulazione 5.3'!$L$13,0)</f>
        <v>0</v>
      </c>
      <c r="I95" s="107">
        <f>IF(I94=TRUE,I92/100*'Simulazione 5.3'!$L$13,0)</f>
        <v>0</v>
      </c>
      <c r="J95" s="107">
        <f>IF(J94=TRUE,J92/100*'Simulazione 5.3'!$L$13,0)</f>
        <v>0</v>
      </c>
      <c r="K95" s="107">
        <f>IF(K94=TRUE,K92/100*'Simulazione 5.3'!$L$13,0)</f>
        <v>0</v>
      </c>
      <c r="L95" s="107">
        <f>IF(L94=TRUE,L92/100*'Simulazione 5.3'!$L$13,0)</f>
        <v>0</v>
      </c>
      <c r="M95" s="107">
        <f>IF(M94=TRUE,M92/100*'Simulazione 5.3'!$L$13,0)</f>
        <v>0</v>
      </c>
      <c r="N95" s="107">
        <f>IF(N94=TRUE,N92/100*'Simulazione 5.3'!$L$13,0)</f>
        <v>0</v>
      </c>
      <c r="O95" s="107">
        <f>IF(O94=TRUE,O92/100*'Simulazione 5.3'!$L$13,0)</f>
        <v>0</v>
      </c>
      <c r="P95" s="107">
        <f>IF(P94=TRUE,P92/100*'Simulazione 5.3'!$L$13,0)</f>
        <v>0</v>
      </c>
      <c r="Q95" s="107">
        <f>IF(Q94=TRUE,Q92/100*'Simulazione 5.3'!$L$13,0)</f>
        <v>0</v>
      </c>
      <c r="R95" s="107">
        <f>IF(R94=TRUE,R92/100*'Simulazione 5.3'!$L$13,0)</f>
        <v>0</v>
      </c>
      <c r="S95" s="107">
        <f>IF(S94=TRUE,S92/100*'Simulazione 5.3'!$L$13,0)</f>
        <v>0</v>
      </c>
      <c r="T95" s="107">
        <f>IF(T94=TRUE,T92/100*'Simulazione 5.3'!$L$13,0)</f>
        <v>0</v>
      </c>
      <c r="U95" s="107">
        <f>IF(U94=TRUE,U92/100*'Simulazione 5.3'!$L$13,0)</f>
        <v>0</v>
      </c>
      <c r="V95" s="107">
        <f>IF(V94=TRUE,V92/100*'Simulazione 5.3'!$L$13,0)</f>
        <v>0</v>
      </c>
      <c r="W95" s="107">
        <f>IF(W94=TRUE,W92/100*'Simulazione 5.3'!$L$13,0)</f>
        <v>0</v>
      </c>
      <c r="X95" s="107">
        <f>IF(X94=TRUE,X92/100*'Simulazione 5.3'!$L$13,0)</f>
        <v>0</v>
      </c>
      <c r="Y95" s="107">
        <f>IF(Y94=TRUE,Y92/100*'Simulazione 5.3'!$L$13,0)</f>
        <v>0</v>
      </c>
      <c r="Z95" s="107">
        <f>IF(Z94=TRUE,Z92/100*'Simulazione 5.3'!$L$13,0)</f>
        <v>0</v>
      </c>
      <c r="AA95" s="107">
        <f>IF(AA94=TRUE,AA92/100*'Simulazione 5.3'!$L$13,0)</f>
        <v>0</v>
      </c>
      <c r="AB95" s="107">
        <f>IF(AB94=TRUE,AB92/100*'Simulazione 5.3'!$L$13,0)</f>
        <v>0</v>
      </c>
    </row>
    <row r="96" spans="3:28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3:28">
      <c r="C97" s="106" t="s">
        <v>108</v>
      </c>
      <c r="D97" s="107" t="b">
        <f>AND(D92&lt;28001,D92&gt;15000)</f>
        <v>0</v>
      </c>
      <c r="E97" s="107" t="b">
        <f t="shared" ref="E97:W97" si="46">AND(E92&lt;28001,E92&gt;15000)</f>
        <v>0</v>
      </c>
      <c r="F97" s="107" t="b">
        <f t="shared" si="46"/>
        <v>0</v>
      </c>
      <c r="G97" s="107" t="b">
        <f t="shared" si="46"/>
        <v>0</v>
      </c>
      <c r="H97" s="107" t="b">
        <f t="shared" si="46"/>
        <v>0</v>
      </c>
      <c r="I97" s="107" t="b">
        <f t="shared" si="46"/>
        <v>0</v>
      </c>
      <c r="J97" s="107" t="b">
        <f t="shared" si="46"/>
        <v>0</v>
      </c>
      <c r="K97" s="107" t="b">
        <f t="shared" si="46"/>
        <v>0</v>
      </c>
      <c r="L97" s="107" t="b">
        <f t="shared" si="46"/>
        <v>0</v>
      </c>
      <c r="M97" s="107" t="b">
        <f t="shared" si="46"/>
        <v>0</v>
      </c>
      <c r="N97" s="107" t="b">
        <f t="shared" si="46"/>
        <v>0</v>
      </c>
      <c r="O97" s="107" t="b">
        <f t="shared" si="46"/>
        <v>0</v>
      </c>
      <c r="P97" s="107" t="b">
        <f t="shared" si="46"/>
        <v>0</v>
      </c>
      <c r="Q97" s="107" t="b">
        <f t="shared" si="46"/>
        <v>0</v>
      </c>
      <c r="R97" s="107" t="b">
        <f t="shared" si="46"/>
        <v>0</v>
      </c>
      <c r="S97" s="107" t="b">
        <f t="shared" si="46"/>
        <v>0</v>
      </c>
      <c r="T97" s="107" t="b">
        <f t="shared" si="46"/>
        <v>0</v>
      </c>
      <c r="U97" s="107" t="b">
        <f t="shared" si="46"/>
        <v>0</v>
      </c>
      <c r="V97" s="107" t="b">
        <f t="shared" si="46"/>
        <v>0</v>
      </c>
      <c r="W97" s="107" t="b">
        <f t="shared" si="46"/>
        <v>0</v>
      </c>
      <c r="X97" s="107" t="b">
        <f t="shared" ref="X97:AB97" si="47">AND(X92&lt;28001,X92&gt;15000)</f>
        <v>0</v>
      </c>
      <c r="Y97" s="107" t="b">
        <f t="shared" si="47"/>
        <v>0</v>
      </c>
      <c r="Z97" s="107" t="b">
        <f t="shared" si="47"/>
        <v>0</v>
      </c>
      <c r="AA97" s="107" t="b">
        <f t="shared" si="47"/>
        <v>0</v>
      </c>
      <c r="AB97" s="107" t="b">
        <f t="shared" si="47"/>
        <v>0</v>
      </c>
    </row>
    <row r="98" spans="3:28">
      <c r="C98" s="106"/>
      <c r="D98" s="107">
        <f>IF(D97=TRUE,3450+((D92-15000)/100*'Simulazione 5.3'!$L$14),0)</f>
        <v>0</v>
      </c>
      <c r="E98" s="107">
        <f>IF(E97=TRUE,3450+((E92-15000)/100*'Simulazione 5.3'!$L$14),0)</f>
        <v>0</v>
      </c>
      <c r="F98" s="107">
        <f>IF(F97=TRUE,3450+((F92-15000)/100*'Simulazione 5.3'!$L$14),0)</f>
        <v>0</v>
      </c>
      <c r="G98" s="107">
        <f>IF(G97=TRUE,3450+((G92-15000)/100*'Simulazione 5.3'!$L$14),0)</f>
        <v>0</v>
      </c>
      <c r="H98" s="107">
        <f>IF(H97=TRUE,3450+((H92-15000)/100*'Simulazione 5.3'!$L$14),0)</f>
        <v>0</v>
      </c>
      <c r="I98" s="107">
        <f>IF(I97=TRUE,3450+((I92-15000)/100*'Simulazione 5.3'!$L$14),0)</f>
        <v>0</v>
      </c>
      <c r="J98" s="107">
        <f>IF(J97=TRUE,3450+((J92-15000)/100*'Simulazione 5.3'!$L$14),0)</f>
        <v>0</v>
      </c>
      <c r="K98" s="107">
        <f>IF(K97=TRUE,3450+((K92-15000)/100*'Simulazione 5.3'!$L$14),0)</f>
        <v>0</v>
      </c>
      <c r="L98" s="107">
        <f>IF(L97=TRUE,3450+((L92-15000)/100*'Simulazione 5.3'!$L$14),0)</f>
        <v>0</v>
      </c>
      <c r="M98" s="107">
        <f>IF(M97=TRUE,3450+((M92-15000)/100*'Simulazione 5.3'!$L$14),0)</f>
        <v>0</v>
      </c>
      <c r="N98" s="107">
        <f>IF(N97=TRUE,3450+((N92-15000)/100*'Simulazione 5.3'!$L$14),0)</f>
        <v>0</v>
      </c>
      <c r="O98" s="107">
        <f>IF(O97=TRUE,3450+((O92-15000)/100*'Simulazione 5.3'!$L$14),0)</f>
        <v>0</v>
      </c>
      <c r="P98" s="107">
        <f>IF(P97=TRUE,3450+((P92-15000)/100*'Simulazione 5.3'!$L$14),0)</f>
        <v>0</v>
      </c>
      <c r="Q98" s="107">
        <f>IF(Q97=TRUE,3450+((Q92-15000)/100*'Simulazione 5.3'!$L$14),0)</f>
        <v>0</v>
      </c>
      <c r="R98" s="107">
        <f>IF(R97=TRUE,3450+((R92-15000)/100*'Simulazione 5.3'!$L$14),0)</f>
        <v>0</v>
      </c>
      <c r="S98" s="107">
        <f>IF(S97=TRUE,3450+((S92-15000)/100*'Simulazione 5.3'!$L$14),0)</f>
        <v>0</v>
      </c>
      <c r="T98" s="107">
        <f>IF(T97=TRUE,3450+((T92-15000)/100*'Simulazione 5.3'!$L$14),0)</f>
        <v>0</v>
      </c>
      <c r="U98" s="107">
        <f>IF(U97=TRUE,3450+((U92-15000)/100*'Simulazione 5.3'!$L$14),0)</f>
        <v>0</v>
      </c>
      <c r="V98" s="107">
        <f>IF(V97=TRUE,3450+((V92-15000)/100*'Simulazione 5.3'!$L$14),0)</f>
        <v>0</v>
      </c>
      <c r="W98" s="107">
        <f>IF(W97=TRUE,3450+((W92-15000)/100*'Simulazione 5.3'!$L$14),0)</f>
        <v>0</v>
      </c>
      <c r="X98" s="107">
        <f>IF(X97=TRUE,3450+((X92-15000)/100*'Simulazione 5.3'!$L$14),0)</f>
        <v>0</v>
      </c>
      <c r="Y98" s="107">
        <f>IF(Y97=TRUE,3450+((Y92-15000)/100*'Simulazione 5.3'!$L$14),0)</f>
        <v>0</v>
      </c>
      <c r="Z98" s="107">
        <f>IF(Z97=TRUE,3450+((Z92-15000)/100*'Simulazione 5.3'!$L$14),0)</f>
        <v>0</v>
      </c>
      <c r="AA98" s="107">
        <f>IF(AA97=TRUE,3450+((AA92-15000)/100*'Simulazione 5.3'!$L$14),0)</f>
        <v>0</v>
      </c>
      <c r="AB98" s="107">
        <f>IF(AB97=TRUE,3450+((AB92-15000)/100*'Simulazione 5.3'!$L$14),0)</f>
        <v>0</v>
      </c>
    </row>
    <row r="99" spans="3:28"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3:28">
      <c r="C100" s="106" t="s">
        <v>110</v>
      </c>
      <c r="D100" s="107" t="b">
        <f>AND(D92&lt;55001,D92&gt;28000)</f>
        <v>0</v>
      </c>
      <c r="E100" s="107" t="b">
        <f t="shared" ref="E100:W100" si="48">AND(E92&lt;55001,E92&gt;28000)</f>
        <v>0</v>
      </c>
      <c r="F100" s="107" t="b">
        <f t="shared" si="48"/>
        <v>0</v>
      </c>
      <c r="G100" s="107" t="b">
        <f t="shared" si="48"/>
        <v>0</v>
      </c>
      <c r="H100" s="107" t="b">
        <f t="shared" si="48"/>
        <v>0</v>
      </c>
      <c r="I100" s="107" t="b">
        <f t="shared" si="48"/>
        <v>0</v>
      </c>
      <c r="J100" s="107" t="b">
        <f t="shared" si="48"/>
        <v>0</v>
      </c>
      <c r="K100" s="107" t="b">
        <f t="shared" si="48"/>
        <v>0</v>
      </c>
      <c r="L100" s="107" t="b">
        <f t="shared" si="48"/>
        <v>0</v>
      </c>
      <c r="M100" s="107" t="b">
        <f t="shared" si="48"/>
        <v>0</v>
      </c>
      <c r="N100" s="107" t="b">
        <f t="shared" si="48"/>
        <v>0</v>
      </c>
      <c r="O100" s="107" t="b">
        <f t="shared" si="48"/>
        <v>0</v>
      </c>
      <c r="P100" s="107" t="b">
        <f t="shared" si="48"/>
        <v>0</v>
      </c>
      <c r="Q100" s="107" t="b">
        <f t="shared" si="48"/>
        <v>0</v>
      </c>
      <c r="R100" s="107" t="b">
        <f t="shared" si="48"/>
        <v>0</v>
      </c>
      <c r="S100" s="107" t="b">
        <f t="shared" si="48"/>
        <v>0</v>
      </c>
      <c r="T100" s="107" t="b">
        <f t="shared" si="48"/>
        <v>0</v>
      </c>
      <c r="U100" s="107" t="b">
        <f t="shared" si="48"/>
        <v>0</v>
      </c>
      <c r="V100" s="107" t="b">
        <f t="shared" si="48"/>
        <v>0</v>
      </c>
      <c r="W100" s="107" t="b">
        <f t="shared" si="48"/>
        <v>0</v>
      </c>
      <c r="X100" s="107" t="b">
        <f t="shared" ref="X100:AB100" si="49">AND(X92&lt;55001,X92&gt;28000)</f>
        <v>0</v>
      </c>
      <c r="Y100" s="107" t="b">
        <f t="shared" si="49"/>
        <v>0</v>
      </c>
      <c r="Z100" s="107" t="b">
        <f t="shared" si="49"/>
        <v>0</v>
      </c>
      <c r="AA100" s="107" t="b">
        <f t="shared" si="49"/>
        <v>0</v>
      </c>
      <c r="AB100" s="107" t="b">
        <f t="shared" si="49"/>
        <v>0</v>
      </c>
    </row>
    <row r="101" spans="3:28">
      <c r="C101" s="106"/>
      <c r="D101" s="107">
        <f>IF(D100=TRUE,6960+((D92-28000)/100*'Simulazione 5.3'!$L$15),0)</f>
        <v>0</v>
      </c>
      <c r="E101" s="107">
        <f>IF(E100=TRUE,6960+((E92-28000)/100*'Simulazione 5.3'!$L$15),0)</f>
        <v>0</v>
      </c>
      <c r="F101" s="107">
        <f>IF(F100=TRUE,6960+((F92-28000)/100*'Simulazione 5.3'!$L$15),0)</f>
        <v>0</v>
      </c>
      <c r="G101" s="107">
        <f>IF(G100=TRUE,6960+((G92-28000)/100*'Simulazione 5.3'!$L$15),0)</f>
        <v>0</v>
      </c>
      <c r="H101" s="107">
        <f>IF(H100=TRUE,6960+((H92-28000)/100*'Simulazione 5.3'!$L$15),0)</f>
        <v>0</v>
      </c>
      <c r="I101" s="107">
        <f>IF(I100=TRUE,6960+((I92-28000)/100*'Simulazione 5.3'!$L$15),0)</f>
        <v>0</v>
      </c>
      <c r="J101" s="107">
        <f>IF(J100=TRUE,6960+((J92-28000)/100*'Simulazione 5.3'!$L$15),0)</f>
        <v>0</v>
      </c>
      <c r="K101" s="107">
        <f>IF(K100=TRUE,6960+((K92-28000)/100*'Simulazione 5.3'!$L$15),0)</f>
        <v>0</v>
      </c>
      <c r="L101" s="107">
        <f>IF(L100=TRUE,6960+((L92-28000)/100*'Simulazione 5.3'!$L$15),0)</f>
        <v>0</v>
      </c>
      <c r="M101" s="107">
        <f>IF(M100=TRUE,6960+((M92-28000)/100*'Simulazione 5.3'!$L$15),0)</f>
        <v>0</v>
      </c>
      <c r="N101" s="107">
        <f>IF(N100=TRUE,6960+((N92-28000)/100*'Simulazione 5.3'!$L$15),0)</f>
        <v>0</v>
      </c>
      <c r="O101" s="107">
        <f>IF(O100=TRUE,6960+((O92-28000)/100*'Simulazione 5.3'!$L$15),0)</f>
        <v>0</v>
      </c>
      <c r="P101" s="107">
        <f>IF(P100=TRUE,6960+((P92-28000)/100*'Simulazione 5.3'!$L$15),0)</f>
        <v>0</v>
      </c>
      <c r="Q101" s="107">
        <f>IF(Q100=TRUE,6960+((Q92-28000)/100*'Simulazione 5.3'!$L$15),0)</f>
        <v>0</v>
      </c>
      <c r="R101" s="107">
        <f>IF(R100=TRUE,6960+((R92-28000)/100*'Simulazione 5.3'!$L$15),0)</f>
        <v>0</v>
      </c>
      <c r="S101" s="107">
        <f>IF(S100=TRUE,6960+((S92-28000)/100*'Simulazione 5.3'!$L$15),0)</f>
        <v>0</v>
      </c>
      <c r="T101" s="107">
        <f>IF(T100=TRUE,6960+((T92-28000)/100*'Simulazione 5.3'!$L$15),0)</f>
        <v>0</v>
      </c>
      <c r="U101" s="107">
        <f>IF(U100=TRUE,6960+((U92-28000)/100*'Simulazione 5.3'!$L$15),0)</f>
        <v>0</v>
      </c>
      <c r="V101" s="107">
        <f>IF(V100=TRUE,6960+((V92-28000)/100*'Simulazione 5.3'!$L$15),0)</f>
        <v>0</v>
      </c>
      <c r="W101" s="107">
        <f>IF(W100=TRUE,6960+((W92-28000)/100*'Simulazione 5.3'!$L$15),0)</f>
        <v>0</v>
      </c>
      <c r="X101" s="107">
        <f>IF(X100=TRUE,6960+((X92-28000)/100*'Simulazione 5.3'!$L$15),0)</f>
        <v>0</v>
      </c>
      <c r="Y101" s="107">
        <f>IF(Y100=TRUE,6960+((Y92-28000)/100*'Simulazione 5.3'!$L$15),0)</f>
        <v>0</v>
      </c>
      <c r="Z101" s="107">
        <f>IF(Z100=TRUE,6960+((Z92-28000)/100*'Simulazione 5.3'!$L$15),0)</f>
        <v>0</v>
      </c>
      <c r="AA101" s="107">
        <f>IF(AA100=TRUE,6960+((AA92-28000)/100*'Simulazione 5.3'!$L$15),0)</f>
        <v>0</v>
      </c>
      <c r="AB101" s="107">
        <f>IF(AB100=TRUE,6960+((AB92-28000)/100*'Simulazione 5.3'!$L$15),0)</f>
        <v>0</v>
      </c>
    </row>
    <row r="102" spans="3:28"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3:28">
      <c r="C103" s="106" t="s">
        <v>111</v>
      </c>
      <c r="D103" s="107" t="b">
        <f>AND(D92&lt;75001,D92&gt;55000)</f>
        <v>0</v>
      </c>
      <c r="E103" s="107" t="b">
        <f t="shared" ref="E103:W103" si="50">AND(E92&lt;75001,E92&gt;55000)</f>
        <v>0</v>
      </c>
      <c r="F103" s="107" t="b">
        <f t="shared" si="50"/>
        <v>0</v>
      </c>
      <c r="G103" s="107" t="b">
        <f t="shared" si="50"/>
        <v>0</v>
      </c>
      <c r="H103" s="107" t="b">
        <f t="shared" si="50"/>
        <v>0</v>
      </c>
      <c r="I103" s="107" t="b">
        <f t="shared" si="50"/>
        <v>0</v>
      </c>
      <c r="J103" s="107" t="b">
        <f t="shared" si="50"/>
        <v>0</v>
      </c>
      <c r="K103" s="107" t="b">
        <f t="shared" si="50"/>
        <v>0</v>
      </c>
      <c r="L103" s="107" t="b">
        <f t="shared" si="50"/>
        <v>0</v>
      </c>
      <c r="M103" s="107" t="b">
        <f t="shared" si="50"/>
        <v>0</v>
      </c>
      <c r="N103" s="107" t="b">
        <f t="shared" si="50"/>
        <v>0</v>
      </c>
      <c r="O103" s="107" t="b">
        <f t="shared" si="50"/>
        <v>0</v>
      </c>
      <c r="P103" s="107" t="b">
        <f t="shared" si="50"/>
        <v>0</v>
      </c>
      <c r="Q103" s="107" t="b">
        <f t="shared" si="50"/>
        <v>0</v>
      </c>
      <c r="R103" s="107" t="b">
        <f t="shared" si="50"/>
        <v>0</v>
      </c>
      <c r="S103" s="107" t="b">
        <f t="shared" si="50"/>
        <v>0</v>
      </c>
      <c r="T103" s="107" t="b">
        <f t="shared" si="50"/>
        <v>0</v>
      </c>
      <c r="U103" s="107" t="b">
        <f t="shared" si="50"/>
        <v>0</v>
      </c>
      <c r="V103" s="107" t="b">
        <f t="shared" si="50"/>
        <v>0</v>
      </c>
      <c r="W103" s="107" t="b">
        <f t="shared" si="50"/>
        <v>0</v>
      </c>
      <c r="X103" s="107" t="b">
        <f t="shared" ref="X103:AB103" si="51">AND(X92&lt;75001,X92&gt;55000)</f>
        <v>0</v>
      </c>
      <c r="Y103" s="107" t="b">
        <f t="shared" si="51"/>
        <v>0</v>
      </c>
      <c r="Z103" s="107" t="b">
        <f t="shared" si="51"/>
        <v>0</v>
      </c>
      <c r="AA103" s="107" t="b">
        <f t="shared" si="51"/>
        <v>0</v>
      </c>
      <c r="AB103" s="107" t="b">
        <f t="shared" si="51"/>
        <v>0</v>
      </c>
    </row>
    <row r="104" spans="3:28">
      <c r="D104" s="107">
        <f>IF(D103=TRUE,17220+((D92-55000)/100*'Simulazione 5.3'!$L$16),0)</f>
        <v>0</v>
      </c>
      <c r="E104" s="107">
        <f>IF(E103=TRUE,17220+((E92-55000)/100*'Simulazione 5.3'!$L$16),0)</f>
        <v>0</v>
      </c>
      <c r="F104" s="107">
        <f>IF(F103=TRUE,17220+((F92-55000)/100*'Simulazione 5.3'!$L$16),0)</f>
        <v>0</v>
      </c>
      <c r="G104" s="107">
        <f>IF(G103=TRUE,17220+((G92-55000)/100*'Simulazione 5.3'!$L$16),0)</f>
        <v>0</v>
      </c>
      <c r="H104" s="107">
        <f>IF(H103=TRUE,17220+((H92-55000)/100*'Simulazione 5.3'!$L$16),0)</f>
        <v>0</v>
      </c>
      <c r="I104" s="107">
        <f>IF(I103=TRUE,17220+((I92-55000)/100*'Simulazione 5.3'!$L$16),0)</f>
        <v>0</v>
      </c>
      <c r="J104" s="107">
        <f>IF(J103=TRUE,17220+((J92-55000)/100*'Simulazione 5.3'!$L$16),0)</f>
        <v>0</v>
      </c>
      <c r="K104" s="107">
        <f>IF(K103=TRUE,17220+((K92-55000)/100*'Simulazione 5.3'!$L$16),0)</f>
        <v>0</v>
      </c>
      <c r="L104" s="107">
        <f>IF(L103=TRUE,17220+((L92-55000)/100*'Simulazione 5.3'!$L$16),0)</f>
        <v>0</v>
      </c>
      <c r="M104" s="107">
        <f>IF(M103=TRUE,17220+((M92-55000)/100*'Simulazione 5.3'!$L$16),0)</f>
        <v>0</v>
      </c>
      <c r="N104" s="107">
        <f>IF(N103=TRUE,17220+((N92-55000)/100*'Simulazione 5.3'!$L$16),0)</f>
        <v>0</v>
      </c>
      <c r="O104" s="107">
        <f>IF(O103=TRUE,17220+((O92-55000)/100*'Simulazione 5.3'!$L$16),0)</f>
        <v>0</v>
      </c>
      <c r="P104" s="107">
        <f>IF(P103=TRUE,17220+((P92-55000)/100*'Simulazione 5.3'!$L$16),0)</f>
        <v>0</v>
      </c>
      <c r="Q104" s="107">
        <f>IF(Q103=TRUE,17220+((Q92-55000)/100*'Simulazione 5.3'!$L$16),0)</f>
        <v>0</v>
      </c>
      <c r="R104" s="107">
        <f>IF(R103=TRUE,17220+((R92-55000)/100*'Simulazione 5.3'!$L$16),0)</f>
        <v>0</v>
      </c>
      <c r="S104" s="107">
        <f>IF(S103=TRUE,17220+((S92-55000)/100*'Simulazione 5.3'!$L$16),0)</f>
        <v>0</v>
      </c>
      <c r="T104" s="107">
        <f>IF(T103=TRUE,17220+((T92-55000)/100*'Simulazione 5.3'!$L$16),0)</f>
        <v>0</v>
      </c>
      <c r="U104" s="107">
        <f>IF(U103=TRUE,17220+((U92-55000)/100*'Simulazione 5.3'!$L$16),0)</f>
        <v>0</v>
      </c>
      <c r="V104" s="107">
        <f>IF(V103=TRUE,17220+((V92-55000)/100*'Simulazione 5.3'!$L$16),0)</f>
        <v>0</v>
      </c>
      <c r="W104" s="107">
        <f>IF(W103=TRUE,17220+((W92-55000)/100*'Simulazione 5.3'!$L$16),0)</f>
        <v>0</v>
      </c>
      <c r="X104" s="107">
        <f>IF(X103=TRUE,17220+((X92-55000)/100*'Simulazione 5.3'!$L$16),0)</f>
        <v>0</v>
      </c>
      <c r="Y104" s="107">
        <f>IF(Y103=TRUE,17220+((Y92-55000)/100*'Simulazione 5.3'!$L$16),0)</f>
        <v>0</v>
      </c>
      <c r="Z104" s="107">
        <f>IF(Z103=TRUE,17220+((Z92-55000)/100*'Simulazione 5.3'!$L$16),0)</f>
        <v>0</v>
      </c>
      <c r="AA104" s="107">
        <f>IF(AA103=TRUE,17220+((AA92-55000)/100*'Simulazione 5.3'!$L$16),0)</f>
        <v>0</v>
      </c>
      <c r="AB104" s="107">
        <f>IF(AB103=TRUE,17220+((AB92-55000)/100*'Simulazione 5.3'!$L$16),0)</f>
        <v>0</v>
      </c>
    </row>
    <row r="105" spans="3:28"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3:28">
      <c r="C106" s="106" t="s">
        <v>112</v>
      </c>
      <c r="D106" s="107" t="b">
        <f>AND(D92&gt;75000)</f>
        <v>0</v>
      </c>
      <c r="E106" s="107" t="b">
        <f t="shared" ref="E106:W106" si="52">AND(E92&gt;75000)</f>
        <v>0</v>
      </c>
      <c r="F106" s="107" t="b">
        <f t="shared" si="52"/>
        <v>0</v>
      </c>
      <c r="G106" s="107" t="b">
        <f t="shared" si="52"/>
        <v>0</v>
      </c>
      <c r="H106" s="107" t="b">
        <f t="shared" si="52"/>
        <v>0</v>
      </c>
      <c r="I106" s="107" t="b">
        <f t="shared" si="52"/>
        <v>0</v>
      </c>
      <c r="J106" s="107" t="b">
        <f t="shared" si="52"/>
        <v>0</v>
      </c>
      <c r="K106" s="107" t="b">
        <f t="shared" si="52"/>
        <v>0</v>
      </c>
      <c r="L106" s="107" t="b">
        <f t="shared" si="52"/>
        <v>0</v>
      </c>
      <c r="M106" s="107" t="b">
        <f t="shared" si="52"/>
        <v>0</v>
      </c>
      <c r="N106" s="107" t="b">
        <f t="shared" si="52"/>
        <v>0</v>
      </c>
      <c r="O106" s="107" t="b">
        <f t="shared" si="52"/>
        <v>0</v>
      </c>
      <c r="P106" s="107" t="b">
        <f t="shared" si="52"/>
        <v>0</v>
      </c>
      <c r="Q106" s="107" t="b">
        <f t="shared" si="52"/>
        <v>0</v>
      </c>
      <c r="R106" s="107" t="b">
        <f t="shared" si="52"/>
        <v>0</v>
      </c>
      <c r="S106" s="107" t="b">
        <f t="shared" si="52"/>
        <v>0</v>
      </c>
      <c r="T106" s="107" t="b">
        <f t="shared" si="52"/>
        <v>0</v>
      </c>
      <c r="U106" s="107" t="b">
        <f t="shared" si="52"/>
        <v>0</v>
      </c>
      <c r="V106" s="107" t="b">
        <f t="shared" si="52"/>
        <v>0</v>
      </c>
      <c r="W106" s="107" t="b">
        <f t="shared" si="52"/>
        <v>0</v>
      </c>
      <c r="X106" s="107" t="b">
        <f t="shared" ref="X106:AB106" si="53">AND(X92&gt;75000)</f>
        <v>0</v>
      </c>
      <c r="Y106" s="107" t="b">
        <f t="shared" si="53"/>
        <v>0</v>
      </c>
      <c r="Z106" s="107" t="b">
        <f t="shared" si="53"/>
        <v>0</v>
      </c>
      <c r="AA106" s="107" t="b">
        <f t="shared" si="53"/>
        <v>0</v>
      </c>
      <c r="AB106" s="107" t="b">
        <f t="shared" si="53"/>
        <v>0</v>
      </c>
    </row>
    <row r="107" spans="3:28">
      <c r="D107" s="107">
        <f>IF(D106=TRUE,25420+((D92-75000)/100*'Simulazione 5.3'!$L$17),0)</f>
        <v>0</v>
      </c>
      <c r="E107" s="107">
        <f>IF(E106=TRUE,25420+((E92-75000)/100*'Simulazione 5.3'!$L$17),0)</f>
        <v>0</v>
      </c>
      <c r="F107" s="107">
        <f>IF(F106=TRUE,25420+((F92-75000)/100*'Simulazione 5.3'!$L$17),0)</f>
        <v>0</v>
      </c>
      <c r="G107" s="107">
        <f>IF(G106=TRUE,25420+((G92-75000)/100*'Simulazione 5.3'!$L$17),0)</f>
        <v>0</v>
      </c>
      <c r="H107" s="107">
        <f>IF(H106=TRUE,25420+((H92-75000)/100*'Simulazione 5.3'!$L$17),0)</f>
        <v>0</v>
      </c>
      <c r="I107" s="107">
        <f>IF(I106=TRUE,25420+((I92-75000)/100*'Simulazione 5.3'!$L$17),0)</f>
        <v>0</v>
      </c>
      <c r="J107" s="107">
        <f>IF(J106=TRUE,25420+((J92-75000)/100*'Simulazione 5.3'!$L$17),0)</f>
        <v>0</v>
      </c>
      <c r="K107" s="107">
        <f>IF(K106=TRUE,25420+((K92-75000)/100*'Simulazione 5.3'!$L$17),0)</f>
        <v>0</v>
      </c>
      <c r="L107" s="107">
        <f>IF(L106=TRUE,25420+((L92-75000)/100*'Simulazione 5.3'!$L$17),0)</f>
        <v>0</v>
      </c>
      <c r="M107" s="107">
        <f>IF(M106=TRUE,25420+((M92-75000)/100*'Simulazione 5.3'!$L$17),0)</f>
        <v>0</v>
      </c>
      <c r="N107" s="107">
        <f>IF(N106=TRUE,25420+((N92-75000)/100*'Simulazione 5.3'!$L$17),0)</f>
        <v>0</v>
      </c>
      <c r="O107" s="107">
        <f>IF(O106=TRUE,25420+((O92-75000)/100*'Simulazione 5.3'!$L$17),0)</f>
        <v>0</v>
      </c>
      <c r="P107" s="107">
        <f>IF(P106=TRUE,25420+((P92-75000)/100*'Simulazione 5.3'!$L$17),0)</f>
        <v>0</v>
      </c>
      <c r="Q107" s="107">
        <f>IF(Q106=TRUE,25420+((Q92-75000)/100*'Simulazione 5.3'!$L$17),0)</f>
        <v>0</v>
      </c>
      <c r="R107" s="107">
        <f>IF(R106=TRUE,25420+((R92-75000)/100*'Simulazione 5.3'!$L$17),0)</f>
        <v>0</v>
      </c>
      <c r="S107" s="107">
        <f>IF(S106=TRUE,25420+((S92-75000)/100*'Simulazione 5.3'!$L$17),0)</f>
        <v>0</v>
      </c>
      <c r="T107" s="107">
        <f>IF(T106=TRUE,25420+((T92-75000)/100*'Simulazione 5.3'!$L$17),0)</f>
        <v>0</v>
      </c>
      <c r="U107" s="107">
        <f>IF(U106=TRUE,25420+((U92-75000)/100*'Simulazione 5.3'!$L$17),0)</f>
        <v>0</v>
      </c>
      <c r="V107" s="107">
        <f>IF(V106=TRUE,25420+((V92-75000)/100*'Simulazione 5.3'!$L$17),0)</f>
        <v>0</v>
      </c>
      <c r="W107" s="107">
        <f>IF(W106=TRUE,25420+((W92-75000)/100*'Simulazione 5.3'!$L$17),0)</f>
        <v>0</v>
      </c>
      <c r="X107" s="107">
        <f>IF(X106=TRUE,25420+((X92-75000)/100*'Simulazione 5.3'!$L$17),0)</f>
        <v>0</v>
      </c>
      <c r="Y107" s="107">
        <f>IF(Y106=TRUE,25420+((Y92-75000)/100*'Simulazione 5.3'!$L$17),0)</f>
        <v>0</v>
      </c>
      <c r="Z107" s="107">
        <f>IF(Z106=TRUE,25420+((Z92-75000)/100*'Simulazione 5.3'!$L$17),0)</f>
        <v>0</v>
      </c>
      <c r="AA107" s="107">
        <f>IF(AA106=TRUE,25420+((AA92-75000)/100*'Simulazione 5.3'!$L$17),0)</f>
        <v>0</v>
      </c>
      <c r="AB107" s="107">
        <f>IF(AB106=TRUE,25420+((AB92-75000)/100*'Simulazione 5.3'!$L$17),0)</f>
        <v>0</v>
      </c>
    </row>
    <row r="108" spans="3:28"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3:28"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3:28">
      <c r="D110" s="107">
        <f>D95+D98+D101+D104+D107</f>
        <v>0</v>
      </c>
      <c r="E110" s="107">
        <f t="shared" ref="E110:W110" si="54">E95+E98+E101+E104+E107</f>
        <v>0</v>
      </c>
      <c r="F110" s="107">
        <f t="shared" si="54"/>
        <v>0</v>
      </c>
      <c r="G110" s="107">
        <f t="shared" si="54"/>
        <v>0</v>
      </c>
      <c r="H110" s="107">
        <f t="shared" si="54"/>
        <v>0</v>
      </c>
      <c r="I110" s="107">
        <f t="shared" si="54"/>
        <v>0</v>
      </c>
      <c r="J110" s="107">
        <f t="shared" si="54"/>
        <v>0</v>
      </c>
      <c r="K110" s="107">
        <f t="shared" si="54"/>
        <v>0</v>
      </c>
      <c r="L110" s="107">
        <f t="shared" si="54"/>
        <v>0</v>
      </c>
      <c r="M110" s="107">
        <f t="shared" si="54"/>
        <v>0</v>
      </c>
      <c r="N110" s="107">
        <f t="shared" si="54"/>
        <v>0</v>
      </c>
      <c r="O110" s="107">
        <f t="shared" si="54"/>
        <v>0</v>
      </c>
      <c r="P110" s="107">
        <f t="shared" si="54"/>
        <v>0</v>
      </c>
      <c r="Q110" s="107">
        <f t="shared" si="54"/>
        <v>0</v>
      </c>
      <c r="R110" s="107">
        <f t="shared" si="54"/>
        <v>0</v>
      </c>
      <c r="S110" s="107">
        <f t="shared" si="54"/>
        <v>0</v>
      </c>
      <c r="T110" s="107">
        <f t="shared" si="54"/>
        <v>0</v>
      </c>
      <c r="U110" s="107">
        <f t="shared" si="54"/>
        <v>0</v>
      </c>
      <c r="V110" s="107">
        <f t="shared" si="54"/>
        <v>0</v>
      </c>
      <c r="W110" s="107">
        <f t="shared" si="54"/>
        <v>0</v>
      </c>
      <c r="X110" s="107">
        <f t="shared" ref="X110:AB110" si="55">X95+X98+X101+X104+X107</f>
        <v>0</v>
      </c>
      <c r="Y110" s="107">
        <f t="shared" si="55"/>
        <v>0</v>
      </c>
      <c r="Z110" s="107">
        <f t="shared" si="55"/>
        <v>0</v>
      </c>
      <c r="AA110" s="107">
        <f t="shared" si="55"/>
        <v>0</v>
      </c>
      <c r="AB110" s="107">
        <f t="shared" si="55"/>
        <v>0</v>
      </c>
    </row>
    <row r="111" spans="3:28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</row>
    <row r="114" spans="3:22">
      <c r="C114" s="107">
        <f>'Simulazione 5.3'!E80</f>
        <v>-10928.9</v>
      </c>
      <c r="D114" s="107">
        <f>'Simulazione 5.3'!F80</f>
        <v>-9459.7968000000001</v>
      </c>
      <c r="E114" s="107">
        <f>'Simulazione 5.3'!G80</f>
        <v>-7995.2044288000006</v>
      </c>
      <c r="F114" s="107">
        <f>'Simulazione 5.3'!H80</f>
        <v>-6534.6236489408011</v>
      </c>
      <c r="G114" s="107">
        <f>'Simulazione 5.3'!I80</f>
        <v>-5077.5413705003348</v>
      </c>
      <c r="H114" s="107">
        <f>'Simulazione 5.3'!J80</f>
        <v>-3623.4300419418328</v>
      </c>
      <c r="I114" s="107">
        <f>'Simulazione 5.3'!K80</f>
        <v>-2171.7470170913971</v>
      </c>
      <c r="J114" s="107">
        <f>'Simulazione 5.3'!L80</f>
        <v>-721.9338972856973</v>
      </c>
      <c r="K114" s="107">
        <f>'Simulazione 5.3'!M80</f>
        <v>726.58415230782634</v>
      </c>
      <c r="L114" s="107">
        <f>'Simulazione 5.3'!N80</f>
        <v>2174.3991132357264</v>
      </c>
      <c r="M114" s="107">
        <f>'Simulazione 5.3'!O80</f>
        <v>3622.120852247222</v>
      </c>
      <c r="N114" s="107">
        <f>'Simulazione 5.3'!P80</f>
        <v>5070.3778888488387</v>
      </c>
      <c r="O114" s="107">
        <f>'Simulazione 5.3'!Q80</f>
        <v>6519.8181930919145</v>
      </c>
      <c r="P114" s="107">
        <f>'Simulazione 5.3'!R80</f>
        <v>7971.1100148065107</v>
      </c>
      <c r="Q114" s="107">
        <f>'Simulazione 5.3'!S80</f>
        <v>9424.9427455437726</v>
      </c>
      <c r="R114" s="107">
        <f>'Simulazione 5.3'!T80</f>
        <v>10932.02781453922</v>
      </c>
      <c r="S114" s="107">
        <f>'Simulazione 5.3'!U80</f>
        <v>12443.099620061923</v>
      </c>
      <c r="T114" s="107">
        <f>'Simulazione 5.3'!V80</f>
        <v>13958.916497569064</v>
      </c>
      <c r="U114" s="107">
        <f>'Simulazione 5.3'!W80</f>
        <v>15480.261726142147</v>
      </c>
      <c r="V114" s="107">
        <f>'Simulazione 5.3'!X80</f>
        <v>17007.944574740122</v>
      </c>
    </row>
    <row r="117" spans="3:22">
      <c r="C117" s="6" t="s">
        <v>89</v>
      </c>
      <c r="D117" s="6" t="b">
        <f>AND(D76&gt;1,D76&lt;4)</f>
        <v>0</v>
      </c>
    </row>
    <row r="119" spans="3:22">
      <c r="D119" s="208" t="s">
        <v>127</v>
      </c>
      <c r="E119" s="208"/>
      <c r="F119" s="208"/>
    </row>
    <row r="120" spans="3:22" ht="15.75" thickBot="1"/>
    <row r="121" spans="3:22">
      <c r="D121" s="23"/>
      <c r="E121" s="15"/>
      <c r="F121" s="202" t="s">
        <v>4</v>
      </c>
      <c r="G121" s="203"/>
      <c r="H121" s="117"/>
      <c r="I121" s="117"/>
      <c r="J121" s="118"/>
      <c r="K121" s="15"/>
      <c r="L121" s="202" t="s">
        <v>5</v>
      </c>
      <c r="M121" s="203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7"/>
      <c r="I122" s="117"/>
      <c r="J122" s="119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5.3'!$C$3&lt;=3,'Simulazione 5.3'!$C$3&gt;=1)</f>
        <v>0</v>
      </c>
      <c r="E123" s="28" t="s">
        <v>6</v>
      </c>
      <c r="F123" s="5">
        <v>208</v>
      </c>
      <c r="G123" s="26">
        <f t="shared" ref="G123:G128" si="56">F123-82</f>
        <v>126</v>
      </c>
      <c r="H123" s="117">
        <f t="shared" ref="H123:H128" si="57">IF(D123=TRUE,(F123+L123)/2,0)</f>
        <v>0</v>
      </c>
      <c r="I123" s="117">
        <f t="shared" ref="I123:I128" si="58">IF(D123=TRUE,(G123+M123)/2,0)</f>
        <v>0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5.3'!$C$3&lt;=20,'Simulazione 5.3'!$C$3&gt;3)</f>
        <v>1</v>
      </c>
      <c r="E124" s="28" t="s">
        <v>7</v>
      </c>
      <c r="F124" s="5">
        <v>196</v>
      </c>
      <c r="G124" s="26">
        <f t="shared" si="56"/>
        <v>114</v>
      </c>
      <c r="H124" s="117">
        <f t="shared" si="57"/>
        <v>192.5</v>
      </c>
      <c r="I124" s="117">
        <f t="shared" si="58"/>
        <v>110.5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5.3'!$C$3&lt;=200,'Simulazione 5.3'!$C$3&gt;20)</f>
        <v>0</v>
      </c>
      <c r="E125" s="28" t="s">
        <v>8</v>
      </c>
      <c r="F125" s="5">
        <v>175</v>
      </c>
      <c r="G125" s="26">
        <f t="shared" si="56"/>
        <v>93</v>
      </c>
      <c r="H125" s="117">
        <f t="shared" si="57"/>
        <v>0</v>
      </c>
      <c r="I125" s="117">
        <f t="shared" si="58"/>
        <v>0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5.3'!$C$3&lt;=1000,'Simulazione 5.3'!$C$3&gt;200)</f>
        <v>0</v>
      </c>
      <c r="E126" s="28" t="s">
        <v>9</v>
      </c>
      <c r="F126" s="5">
        <v>142</v>
      </c>
      <c r="G126" s="26">
        <f t="shared" si="56"/>
        <v>60</v>
      </c>
      <c r="H126" s="117">
        <f t="shared" si="57"/>
        <v>0</v>
      </c>
      <c r="I126" s="117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5.3'!$C$3&lt;=5000,'Simulazione 5.3'!$C$3&gt;1000)</f>
        <v>0</v>
      </c>
      <c r="E127" s="28" t="s">
        <v>10</v>
      </c>
      <c r="F127" s="5">
        <v>126</v>
      </c>
      <c r="G127" s="26">
        <f t="shared" si="56"/>
        <v>44</v>
      </c>
      <c r="H127" s="117">
        <f t="shared" si="57"/>
        <v>0</v>
      </c>
      <c r="I127" s="117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5.3'!$C$3&gt;=5000)</f>
        <v>0</v>
      </c>
      <c r="E128" s="35" t="s">
        <v>11</v>
      </c>
      <c r="F128" s="36">
        <v>119</v>
      </c>
      <c r="G128" s="37">
        <f t="shared" si="56"/>
        <v>37</v>
      </c>
      <c r="H128" s="117">
        <f t="shared" si="57"/>
        <v>0</v>
      </c>
      <c r="I128" s="117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7"/>
      <c r="G129" s="117"/>
      <c r="H129" s="42">
        <f>IF($H$9=3,H123+H124+H125+H126+H127+H128,0)</f>
        <v>0</v>
      </c>
      <c r="I129" s="42">
        <f>IF($H$9=3,I123+I124+I125+I126+I127+I128,0)</f>
        <v>0</v>
      </c>
      <c r="K129" s="117"/>
      <c r="L129" s="117"/>
      <c r="M129" s="117"/>
      <c r="N129" s="5"/>
      <c r="O129" s="5"/>
    </row>
    <row r="130" spans="4:15">
      <c r="F130" s="117"/>
      <c r="G130" s="117"/>
      <c r="H130" s="5"/>
      <c r="I130" s="5"/>
      <c r="K130" s="117"/>
      <c r="L130" s="117"/>
      <c r="M130" s="117"/>
      <c r="N130" s="5"/>
      <c r="O130" s="5"/>
    </row>
    <row r="131" spans="4:15" ht="15.75" thickBot="1">
      <c r="F131" s="200"/>
      <c r="G131" s="200"/>
      <c r="H131" s="117"/>
      <c r="I131" s="117"/>
      <c r="K131" s="117"/>
      <c r="L131" s="200"/>
      <c r="M131" s="200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5.3'!$C$3&lt;=3,'Simulazione 5.3'!$C$3&gt;=1)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7">
        <f t="shared" ref="H133:H138" si="61">IF(D133=TRUE,(F133+L133)/2,0)</f>
        <v>0</v>
      </c>
      <c r="I133" s="117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5.3'!$C$3&lt;=20,'Simulazione 5.3'!$C$3&gt;3)</f>
        <v>0</v>
      </c>
      <c r="E134" s="28" t="s">
        <v>7</v>
      </c>
      <c r="F134" s="51">
        <v>171</v>
      </c>
      <c r="G134" s="52">
        <f t="shared" si="60"/>
        <v>89</v>
      </c>
      <c r="H134" s="117">
        <f t="shared" si="61"/>
        <v>0</v>
      </c>
      <c r="I134" s="117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5.3'!$C$3&lt;=200,'Simulazione 5.3'!$C$3&gt;20)</f>
        <v>0</v>
      </c>
      <c r="E135" s="28" t="s">
        <v>8</v>
      </c>
      <c r="F135" s="51">
        <v>157</v>
      </c>
      <c r="G135" s="52">
        <f t="shared" si="60"/>
        <v>75</v>
      </c>
      <c r="H135" s="117">
        <f t="shared" si="61"/>
        <v>0</v>
      </c>
      <c r="I135" s="117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5.3'!$C$3&lt;=1000,'Simulazione 5.3'!$C$3&gt;200)</f>
        <v>0</v>
      </c>
      <c r="E136" s="28" t="s">
        <v>9</v>
      </c>
      <c r="F136" s="47">
        <v>130</v>
      </c>
      <c r="G136" s="48">
        <f t="shared" si="60"/>
        <v>48</v>
      </c>
      <c r="H136" s="117">
        <f t="shared" si="61"/>
        <v>0</v>
      </c>
      <c r="I136" s="117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5.3'!$C$3&lt;=5000,'Simulazione 5.3'!$C$3&gt;1000)</f>
        <v>0</v>
      </c>
      <c r="E137" s="28" t="s">
        <v>10</v>
      </c>
      <c r="F137" s="51">
        <v>118</v>
      </c>
      <c r="G137" s="52">
        <f t="shared" si="60"/>
        <v>36</v>
      </c>
      <c r="H137" s="117">
        <f t="shared" si="61"/>
        <v>0</v>
      </c>
      <c r="I137" s="117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5.3'!$C$3&gt;=5000)</f>
        <v>0</v>
      </c>
      <c r="E138" s="35" t="s">
        <v>11</v>
      </c>
      <c r="F138" s="57">
        <v>112</v>
      </c>
      <c r="G138" s="58">
        <f t="shared" si="60"/>
        <v>30</v>
      </c>
      <c r="H138" s="117">
        <f t="shared" si="61"/>
        <v>0</v>
      </c>
      <c r="I138" s="117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5.3'!$C$3&lt;=3,'Simulazione 5.3'!$C$3&gt;=1)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7">
        <f t="shared" ref="H143:H148" si="65">IF(D143=TRUE,(F143+L143)/2,0)</f>
        <v>0</v>
      </c>
      <c r="I143" s="117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5.3'!$C$3&lt;=20,'Simulazione 5.3'!$C$3&gt;3)</f>
        <v>0</v>
      </c>
      <c r="E144" s="28" t="s">
        <v>7</v>
      </c>
      <c r="F144" s="51">
        <v>149</v>
      </c>
      <c r="G144" s="52">
        <f t="shared" si="64"/>
        <v>67</v>
      </c>
      <c r="H144" s="117">
        <f t="shared" si="65"/>
        <v>0</v>
      </c>
      <c r="I144" s="117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5.3'!$C$3&lt;=200,'Simulazione 5.3'!$C$3&gt;20)</f>
        <v>0</v>
      </c>
      <c r="E145" s="28" t="s">
        <v>8</v>
      </c>
      <c r="F145" s="51">
        <v>141</v>
      </c>
      <c r="G145" s="52">
        <f t="shared" si="64"/>
        <v>59</v>
      </c>
      <c r="H145" s="117">
        <f t="shared" si="65"/>
        <v>0</v>
      </c>
      <c r="I145" s="117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5.3'!$C$3&lt;=1000,'Simulazione 5.3'!$C$3&gt;200)</f>
        <v>0</v>
      </c>
      <c r="E146" s="28" t="s">
        <v>9</v>
      </c>
      <c r="F146" s="47">
        <v>118</v>
      </c>
      <c r="G146" s="48">
        <f t="shared" si="64"/>
        <v>36</v>
      </c>
      <c r="H146" s="117">
        <f t="shared" si="65"/>
        <v>0</v>
      </c>
      <c r="I146" s="117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5.3'!$C$3&lt;=5000,'Simulazione 5.3'!$C$3&gt;1000)</f>
        <v>0</v>
      </c>
      <c r="E147" s="28" t="s">
        <v>10</v>
      </c>
      <c r="F147" s="51">
        <v>110</v>
      </c>
      <c r="G147" s="52">
        <f t="shared" si="64"/>
        <v>28</v>
      </c>
      <c r="H147" s="117">
        <f t="shared" si="65"/>
        <v>0</v>
      </c>
      <c r="I147" s="117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5.3'!$C$3&gt;=5000)</f>
        <v>0</v>
      </c>
      <c r="E148" s="35" t="s">
        <v>11</v>
      </c>
      <c r="F148" s="57">
        <v>104</v>
      </c>
      <c r="G148" s="58">
        <f t="shared" si="64"/>
        <v>22</v>
      </c>
      <c r="H148" s="117">
        <f t="shared" si="65"/>
        <v>0</v>
      </c>
      <c r="I148" s="117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5.3'!$C$3&lt;=3,'Simulazione 5.3'!$C$3&gt;=1)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7">
        <f t="shared" ref="H155:H160" si="69">IF(D155=TRUE,(F155+L155)/2,0)</f>
        <v>0</v>
      </c>
      <c r="I155" s="117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5.3'!$C$3&lt;=20,'Simulazione 5.3'!$C$3&gt;3)</f>
        <v>0</v>
      </c>
      <c r="E156" s="28" t="s">
        <v>7</v>
      </c>
      <c r="F156" s="51">
        <v>137</v>
      </c>
      <c r="G156" s="52">
        <f t="shared" si="68"/>
        <v>55</v>
      </c>
      <c r="H156" s="117">
        <f t="shared" si="69"/>
        <v>0</v>
      </c>
      <c r="I156" s="117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5.3'!$C$3&lt;=200,'Simulazione 5.3'!$C$3&gt;20)</f>
        <v>0</v>
      </c>
      <c r="E157" s="28" t="s">
        <v>8</v>
      </c>
      <c r="F157" s="51">
        <v>131</v>
      </c>
      <c r="G157" s="52">
        <f t="shared" si="68"/>
        <v>49</v>
      </c>
      <c r="H157" s="117">
        <f t="shared" si="69"/>
        <v>0</v>
      </c>
      <c r="I157" s="117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5.3'!$C$3&lt;=1000,'Simulazione 5.3'!$C$3&gt;200)</f>
        <v>0</v>
      </c>
      <c r="E158" s="28" t="s">
        <v>9</v>
      </c>
      <c r="F158" s="47">
        <v>111</v>
      </c>
      <c r="G158" s="48">
        <f t="shared" si="68"/>
        <v>29</v>
      </c>
      <c r="H158" s="117">
        <f t="shared" si="69"/>
        <v>0</v>
      </c>
      <c r="I158" s="117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5.3'!$C$3&lt;=5000,'Simulazione 5.3'!$C$3&gt;1000)</f>
        <v>0</v>
      </c>
      <c r="E159" s="28" t="s">
        <v>10</v>
      </c>
      <c r="F159" s="51">
        <v>105</v>
      </c>
      <c r="G159" s="52">
        <f t="shared" si="68"/>
        <v>23</v>
      </c>
      <c r="H159" s="117">
        <f t="shared" si="69"/>
        <v>0</v>
      </c>
      <c r="I159" s="117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5.3'!$C$3&gt;=5000)</f>
        <v>0</v>
      </c>
      <c r="E160" s="35" t="s">
        <v>11</v>
      </c>
      <c r="F160" s="57">
        <v>99</v>
      </c>
      <c r="G160" s="58">
        <f t="shared" si="68"/>
        <v>17</v>
      </c>
      <c r="H160" s="117">
        <f t="shared" si="69"/>
        <v>0</v>
      </c>
      <c r="I160" s="117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5.3'!$C$3&lt;=3,'Simulazione 5.3'!$C$3&gt;=1)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7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5.3'!$C$3&lt;=20,'Simulazione 5.3'!$C$3&gt;3)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7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5.3'!$C$3&lt;=200,'Simulazione 5.3'!$C$3&gt;20)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7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5.3'!$C$3&lt;=1000,'Simulazione 5.3'!$C$3&gt;200)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7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5.3'!$C$3&lt;=5000,'Simulazione 5.3'!$C$3&gt;1000)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7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5.3'!$C$3&gt;=5000)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7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208" t="s">
        <v>126</v>
      </c>
      <c r="E179" s="208"/>
      <c r="F179" s="208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202" t="s">
        <v>4</v>
      </c>
      <c r="G182" s="203"/>
      <c r="H182" s="117"/>
      <c r="I182" s="117"/>
      <c r="J182" s="5"/>
      <c r="K182" s="2"/>
      <c r="L182" s="207"/>
      <c r="M182" s="207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7"/>
      <c r="I183" s="117"/>
      <c r="J183" s="5"/>
      <c r="K183" s="2"/>
      <c r="L183" s="5"/>
      <c r="M183" s="5"/>
      <c r="N183" s="2"/>
      <c r="O183" s="2"/>
    </row>
    <row r="184" spans="4:15">
      <c r="D184" s="22" t="b">
        <f>AND($D$1=1,'Simulazione 5.3'!$C$3&lt;=20,'Simulazione 5.3'!$C$3&gt;=1)</f>
        <v>1</v>
      </c>
      <c r="E184" s="28" t="s">
        <v>128</v>
      </c>
      <c r="F184" s="5">
        <v>288</v>
      </c>
      <c r="G184" s="26">
        <v>186</v>
      </c>
      <c r="H184" s="117">
        <f>IF(D184=TRUE,F184,0)</f>
        <v>288</v>
      </c>
      <c r="I184" s="117">
        <f>IF(D184=TRUE,G184,0)</f>
        <v>186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5.3'!$C$3&lt;=200,'Simulazione 5.3'!$C$3&gt;20)</f>
        <v>0</v>
      </c>
      <c r="E185" s="28" t="s">
        <v>8</v>
      </c>
      <c r="F185" s="5">
        <v>276</v>
      </c>
      <c r="G185" s="26">
        <v>174</v>
      </c>
      <c r="H185" s="117">
        <f t="shared" ref="H185:H186" si="76">IF(D185=TRUE,F185,0)</f>
        <v>0</v>
      </c>
      <c r="I185" s="117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5.3'!$C$3&gt;200)</f>
        <v>0</v>
      </c>
      <c r="E186" s="35" t="s">
        <v>129</v>
      </c>
      <c r="F186" s="36">
        <v>255</v>
      </c>
      <c r="G186" s="37">
        <v>153</v>
      </c>
      <c r="H186" s="117">
        <f t="shared" si="76"/>
        <v>0</v>
      </c>
      <c r="I186" s="117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7"/>
      <c r="G187" s="117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202" t="s">
        <v>4</v>
      </c>
      <c r="G189" s="203"/>
      <c r="H189" s="117"/>
      <c r="I189" s="117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7"/>
      <c r="I190" s="117"/>
      <c r="J190" s="2"/>
      <c r="K190" s="2"/>
      <c r="L190" s="2"/>
      <c r="M190" s="2"/>
      <c r="N190" s="2"/>
      <c r="O190" s="2"/>
    </row>
    <row r="191" spans="4:15">
      <c r="D191" s="22" t="b">
        <f>AND($D$1=2,'Simulazione 5.3'!$C$3&lt;=20,'Simulazione 5.3'!$C$3&gt;=1)</f>
        <v>0</v>
      </c>
      <c r="E191" s="28" t="s">
        <v>128</v>
      </c>
      <c r="F191" s="5">
        <v>242</v>
      </c>
      <c r="G191" s="26">
        <v>160</v>
      </c>
      <c r="H191" s="117">
        <f t="shared" ref="H191:H193" si="77">IF(D191=TRUE,F191,0)</f>
        <v>0</v>
      </c>
      <c r="I191" s="117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5.3'!$C$3&lt;=200,'Simulazione 5.3'!$C$3&gt;20)</f>
        <v>0</v>
      </c>
      <c r="E192" s="28" t="s">
        <v>8</v>
      </c>
      <c r="F192" s="5">
        <v>231</v>
      </c>
      <c r="G192" s="26">
        <v>149</v>
      </c>
      <c r="H192" s="117">
        <f t="shared" si="77"/>
        <v>0</v>
      </c>
      <c r="I192" s="117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5.3'!$C$3&gt;200)</f>
        <v>0</v>
      </c>
      <c r="E193" s="35" t="s">
        <v>129</v>
      </c>
      <c r="F193" s="36">
        <v>217</v>
      </c>
      <c r="G193" s="37">
        <v>135</v>
      </c>
      <c r="H193" s="117">
        <f t="shared" si="77"/>
        <v>0</v>
      </c>
      <c r="I193" s="117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7"/>
      <c r="G194" s="117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202" t="s">
        <v>4</v>
      </c>
      <c r="G197" s="203"/>
      <c r="H197" s="117"/>
      <c r="I197" s="117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7"/>
      <c r="I198" s="117"/>
    </row>
    <row r="199" spans="4:15">
      <c r="D199" s="22" t="b">
        <f>AND($D$1=3,'Simulazione 5.3'!$C$3&lt;=20,'Simulazione 5.3'!$C$3&gt;=1)</f>
        <v>0</v>
      </c>
      <c r="E199" s="28" t="s">
        <v>128</v>
      </c>
      <c r="F199" s="5">
        <v>218</v>
      </c>
      <c r="G199" s="26">
        <v>144</v>
      </c>
      <c r="H199" s="117">
        <f t="shared" ref="H199:H201" si="79">IF(D199=TRUE,F199,0)</f>
        <v>0</v>
      </c>
      <c r="I199" s="117">
        <f t="shared" ref="I199:I200" si="80">IF(D199=TRUE,G199,0)</f>
        <v>0</v>
      </c>
    </row>
    <row r="200" spans="4:15">
      <c r="D200" s="22" t="b">
        <f>AND($D$1=3,'Simulazione 5.3'!$C$3&lt;=200,'Simulazione 5.3'!$C$3&gt;20)</f>
        <v>0</v>
      </c>
      <c r="E200" s="28" t="s">
        <v>8</v>
      </c>
      <c r="F200" s="5">
        <v>208</v>
      </c>
      <c r="G200" s="26">
        <v>134</v>
      </c>
      <c r="H200" s="117">
        <f t="shared" si="79"/>
        <v>0</v>
      </c>
      <c r="I200" s="117">
        <f t="shared" si="80"/>
        <v>0</v>
      </c>
    </row>
    <row r="201" spans="4:15" ht="15.75" thickBot="1">
      <c r="D201" s="29" t="b">
        <f>AND($D$1=3,'Simulazione 5.3'!$C$3&gt;200)</f>
        <v>0</v>
      </c>
      <c r="E201" s="35" t="s">
        <v>129</v>
      </c>
      <c r="F201" s="36">
        <v>195</v>
      </c>
      <c r="G201" s="37">
        <v>121</v>
      </c>
      <c r="H201" s="117">
        <f t="shared" si="79"/>
        <v>0</v>
      </c>
      <c r="I201" s="117">
        <f>IF(D201=TRUE,(G201+M201)/2,0)</f>
        <v>0</v>
      </c>
    </row>
    <row r="202" spans="4:15" ht="15.75" thickBot="1">
      <c r="F202" s="117"/>
      <c r="G202" s="117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202" t="s">
        <v>4</v>
      </c>
      <c r="G205" s="203"/>
      <c r="H205" s="117"/>
      <c r="I205" s="117"/>
    </row>
    <row r="206" spans="4:15">
      <c r="D206" s="22"/>
      <c r="E206" s="2"/>
      <c r="F206" s="5" t="s">
        <v>2</v>
      </c>
      <c r="G206" s="26" t="s">
        <v>3</v>
      </c>
      <c r="H206" s="117"/>
      <c r="I206" s="117"/>
    </row>
    <row r="207" spans="4:15">
      <c r="D207" s="22" t="b">
        <f>AND($D$1=4,'Simulazione 5.3'!$C$3&lt;=20,'Simulazione 5.3'!$C$3&gt;=1)</f>
        <v>0</v>
      </c>
      <c r="E207" s="28" t="s">
        <v>128</v>
      </c>
      <c r="F207" s="5">
        <v>196</v>
      </c>
      <c r="G207" s="26">
        <v>130</v>
      </c>
      <c r="H207" s="117">
        <f t="shared" ref="H207:H209" si="81">IF(D207=TRUE,F207,0)</f>
        <v>0</v>
      </c>
      <c r="I207" s="117">
        <f t="shared" ref="I207:I209" si="82">IF(D207=TRUE,G207,0)</f>
        <v>0</v>
      </c>
    </row>
    <row r="208" spans="4:15">
      <c r="D208" s="22" t="b">
        <f>AND($D$1=4,'Simulazione 5.3'!$C$3&lt;=200,'Simulazione 5.3'!$C$3&gt;20)</f>
        <v>0</v>
      </c>
      <c r="E208" s="28" t="s">
        <v>8</v>
      </c>
      <c r="F208" s="5">
        <v>187</v>
      </c>
      <c r="G208" s="26">
        <v>121</v>
      </c>
      <c r="H208" s="117">
        <f t="shared" si="81"/>
        <v>0</v>
      </c>
      <c r="I208" s="117">
        <f t="shared" si="82"/>
        <v>0</v>
      </c>
    </row>
    <row r="209" spans="4:28" ht="15.75" thickBot="1">
      <c r="D209" s="29" t="b">
        <f>AND($D$1=4,'Simulazione 5.3'!$C$3&gt;200)</f>
        <v>0</v>
      </c>
      <c r="E209" s="35" t="s">
        <v>129</v>
      </c>
      <c r="F209" s="36">
        <v>176</v>
      </c>
      <c r="G209" s="37">
        <v>109</v>
      </c>
      <c r="H209" s="117">
        <f t="shared" si="81"/>
        <v>0</v>
      </c>
      <c r="I209" s="117">
        <f t="shared" si="82"/>
        <v>0</v>
      </c>
    </row>
    <row r="210" spans="4:28" ht="15.75" thickBot="1">
      <c r="F210" s="117"/>
      <c r="G210" s="117"/>
      <c r="H210" s="42">
        <f>IF($H$9=2,H207+H208+H209,0)</f>
        <v>0</v>
      </c>
      <c r="I210" s="42">
        <f>IF($H$9=2,I207+I208+I209,0)</f>
        <v>0</v>
      </c>
    </row>
    <row r="212" spans="4:28" ht="15.75" thickBot="1"/>
    <row r="213" spans="4:28">
      <c r="D213" s="23"/>
      <c r="E213" s="15"/>
      <c r="F213" s="202" t="s">
        <v>4</v>
      </c>
      <c r="G213" s="203"/>
      <c r="H213" s="117"/>
      <c r="I213" s="117"/>
    </row>
    <row r="214" spans="4:28">
      <c r="D214" s="22"/>
      <c r="E214" s="2"/>
      <c r="F214" s="5" t="s">
        <v>2</v>
      </c>
      <c r="G214" s="26" t="s">
        <v>3</v>
      </c>
      <c r="H214" s="117"/>
      <c r="I214" s="117"/>
    </row>
    <row r="215" spans="4:28">
      <c r="D215" s="22" t="b">
        <f>AND($D$1=5,'Simulazione 5.3'!$C$3&lt;=20,'Simulazione 5.3'!$C$3&gt;=1)</f>
        <v>0</v>
      </c>
      <c r="E215" s="28" t="s">
        <v>128</v>
      </c>
      <c r="F215" s="5">
        <v>176</v>
      </c>
      <c r="G215" s="26">
        <v>117</v>
      </c>
      <c r="H215" s="117">
        <f t="shared" ref="H215:H217" si="83">IF(D215=TRUE,F215,0)</f>
        <v>0</v>
      </c>
      <c r="I215" s="117">
        <f t="shared" ref="I215:I217" si="84">IF(D215=TRUE,G215,0)</f>
        <v>0</v>
      </c>
    </row>
    <row r="216" spans="4:28">
      <c r="D216" s="22" t="b">
        <f>AND($D$1=5,'Simulazione 5.3'!$C$3&lt;=200,'Simulazione 5.3'!$C$3&gt;20)</f>
        <v>0</v>
      </c>
      <c r="E216" s="28" t="s">
        <v>8</v>
      </c>
      <c r="F216" s="5">
        <v>169</v>
      </c>
      <c r="G216" s="26">
        <v>109</v>
      </c>
      <c r="H216" s="117">
        <f t="shared" si="83"/>
        <v>0</v>
      </c>
      <c r="I216" s="117">
        <f t="shared" si="84"/>
        <v>0</v>
      </c>
    </row>
    <row r="217" spans="4:28" ht="15.75" thickBot="1">
      <c r="D217" s="29" t="b">
        <f>AND($D$1=5,'Simulazione 5.3'!$C$3&gt;200)</f>
        <v>0</v>
      </c>
      <c r="E217" s="35" t="s">
        <v>129</v>
      </c>
      <c r="F217" s="36">
        <v>158</v>
      </c>
      <c r="G217" s="37">
        <v>98</v>
      </c>
      <c r="H217" s="117">
        <f t="shared" si="83"/>
        <v>0</v>
      </c>
      <c r="I217" s="117">
        <f t="shared" si="84"/>
        <v>0</v>
      </c>
    </row>
    <row r="218" spans="4:28" ht="15.75" thickBot="1">
      <c r="F218" s="117"/>
      <c r="G218" s="117"/>
      <c r="H218" s="42">
        <f>IF($H$9=2,H215+H216+H217,0)</f>
        <v>0</v>
      </c>
      <c r="I218" s="42">
        <f>IF($H$9=2,I215+I216+I217,0)</f>
        <v>0</v>
      </c>
    </row>
    <row r="221" spans="4:28">
      <c r="D221" s="6" t="s">
        <v>158</v>
      </c>
    </row>
    <row r="222" spans="4:28"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07">
        <v>20</v>
      </c>
      <c r="X222" s="107">
        <v>21</v>
      </c>
      <c r="Y222" s="107">
        <v>22</v>
      </c>
      <c r="Z222" s="107">
        <v>23</v>
      </c>
      <c r="AA222" s="107">
        <v>24</v>
      </c>
      <c r="AB222" s="107">
        <v>25</v>
      </c>
    </row>
    <row r="223" spans="4:28">
      <c r="D223" s="6">
        <f>'Simulazione 5.3'!C31</f>
        <v>2500</v>
      </c>
      <c r="E223" s="107">
        <f>D223+(Calcoli!D223/100*'Simulazione 5.3'!$C$39)</f>
        <v>2525</v>
      </c>
      <c r="F223" s="107">
        <f>E223+(Calcoli!E223/100*'Simulazione 5.3'!$C$39)</f>
        <v>2550.25</v>
      </c>
      <c r="G223" s="107">
        <f>F223+(Calcoli!F223/100*'Simulazione 5.3'!$C$39)</f>
        <v>2575.7525000000001</v>
      </c>
      <c r="H223" s="107">
        <f>G223+(Calcoli!G223/100*'Simulazione 5.3'!$C$39)</f>
        <v>2601.510025</v>
      </c>
      <c r="I223" s="107">
        <f>H223+(Calcoli!H223/100*'Simulazione 5.3'!$C$39)</f>
        <v>2627.5251252500002</v>
      </c>
      <c r="J223" s="107">
        <f>I223+(Calcoli!I223/100*'Simulazione 5.3'!$C$39)</f>
        <v>2653.8003765025001</v>
      </c>
      <c r="K223" s="107">
        <f>J223+(Calcoli!J223/100*'Simulazione 5.3'!$C$39)</f>
        <v>2680.3383802675253</v>
      </c>
      <c r="L223" s="107">
        <f>K223+(Calcoli!K223/100*'Simulazione 5.3'!$C$39)</f>
        <v>2707.1417640702007</v>
      </c>
      <c r="M223" s="107">
        <f>L223+(Calcoli!L223/100*'Simulazione 5.3'!$C$39)</f>
        <v>2734.2131817109025</v>
      </c>
      <c r="N223" s="107">
        <f>M223+(Calcoli!M223/100*'Simulazione 5.3'!$C$39)</f>
        <v>2761.5553135280115</v>
      </c>
      <c r="O223" s="107">
        <f>N223+(Calcoli!N223/100*'Simulazione 5.3'!$C$39)</f>
        <v>2789.1708666632917</v>
      </c>
      <c r="P223" s="107">
        <f>O223+(Calcoli!O223/100*'Simulazione 5.3'!$C$39)</f>
        <v>2817.0625753299246</v>
      </c>
      <c r="Q223" s="107">
        <f>P223+(Calcoli!P223/100*'Simulazione 5.3'!$C$39)</f>
        <v>2845.2332010832238</v>
      </c>
      <c r="R223" s="107">
        <f>Q223+(Calcoli!Q223/100*'Simulazione 5.3'!$C$39)</f>
        <v>2873.6855330940562</v>
      </c>
      <c r="S223" s="107">
        <f>R223+(Calcoli!R223/100*'Simulazione 5.3'!$C$39)</f>
        <v>2902.4223884249968</v>
      </c>
      <c r="T223" s="107">
        <f>S223+(Calcoli!S223/100*'Simulazione 5.3'!$C$39)</f>
        <v>2931.4466123092466</v>
      </c>
      <c r="U223" s="107">
        <f>T223+(Calcoli!T223/100*'Simulazione 5.3'!$C$39)</f>
        <v>2960.7610784323392</v>
      </c>
      <c r="V223" s="107">
        <f>U223+(Calcoli!U223/100*'Simulazione 5.3'!$C$39)</f>
        <v>2990.3686892166625</v>
      </c>
      <c r="W223" s="107">
        <f>V223+(Calcoli!V223/100*'Simulazione 5.3'!$C$39)</f>
        <v>3020.2723761088291</v>
      </c>
      <c r="X223" s="107">
        <f>W223+(Calcoli!W223/100*'Simulazione 5.3'!$C$39)</f>
        <v>3050.4750998699174</v>
      </c>
      <c r="Y223" s="107">
        <f>X223+(Calcoli!X223/100*'Simulazione 5.3'!$C$39)</f>
        <v>3080.9798508686167</v>
      </c>
      <c r="Z223" s="107">
        <f>Y223+(Calcoli!Y223/100*'Simulazione 5.3'!$C$39)</f>
        <v>3111.7896493773028</v>
      </c>
      <c r="AA223" s="107">
        <f>Z223+(Calcoli!Z223/100*'Simulazione 5.3'!$C$39)</f>
        <v>3142.9075458710759</v>
      </c>
      <c r="AB223" s="107">
        <f>AA223+(Calcoli!AA223/100*'Simulazione 5.3'!$C$39)</f>
        <v>3174.3366213297868</v>
      </c>
    </row>
    <row r="226" spans="3:28">
      <c r="D226" s="6" t="s">
        <v>162</v>
      </c>
    </row>
    <row r="227" spans="3:28">
      <c r="D227" s="6" t="b">
        <f>AND(D1=6,Q49=1)</f>
        <v>0</v>
      </c>
    </row>
    <row r="229" spans="3:28">
      <c r="D229" s="6" t="s">
        <v>163</v>
      </c>
    </row>
    <row r="230" spans="3:28">
      <c r="D230" s="6" t="b">
        <f>AND(D1=6,Q49=2)</f>
        <v>0</v>
      </c>
    </row>
    <row r="232" spans="3:28">
      <c r="D232" s="6" t="s">
        <v>167</v>
      </c>
      <c r="G232" s="175">
        <f>'Simulazione 5.3'!C46/100*90</f>
        <v>0.16200000000000001</v>
      </c>
    </row>
    <row r="235" spans="3:28">
      <c r="C235" s="6" t="s">
        <v>168</v>
      </c>
      <c r="D235" s="106">
        <f>IF('Simulazione 5.3'!E55&lt;'Simulazione 5.3'!E56,'Simulazione 5.3'!E55,'Simulazione 5.3'!E56)</f>
        <v>1250</v>
      </c>
      <c r="E235" s="106">
        <f>IF('Simulazione 5.3'!F55&lt;'Simulazione 5.3'!F56,'Simulazione 5.3'!F55,'Simulazione 5.3'!F56)</f>
        <v>1250</v>
      </c>
      <c r="F235" s="106">
        <f>IF('Simulazione 5.3'!G55&lt;'Simulazione 5.3'!G56,'Simulazione 5.3'!G55,'Simulazione 5.3'!G56)</f>
        <v>1250</v>
      </c>
      <c r="G235" s="106">
        <f>IF('Simulazione 5.3'!H55&lt;'Simulazione 5.3'!H56,'Simulazione 5.3'!H55,'Simulazione 5.3'!H56)</f>
        <v>1250</v>
      </c>
      <c r="H235" s="106">
        <f>IF('Simulazione 5.3'!I55&lt;'Simulazione 5.3'!I56,'Simulazione 5.3'!I55,'Simulazione 5.3'!I56)</f>
        <v>1250</v>
      </c>
      <c r="I235" s="106">
        <f>IF('Simulazione 5.3'!J55&lt;'Simulazione 5.3'!J56,'Simulazione 5.3'!J55,'Simulazione 5.3'!J56)</f>
        <v>1250</v>
      </c>
      <c r="J235" s="106">
        <f>IF('Simulazione 5.3'!K55&lt;'Simulazione 5.3'!K56,'Simulazione 5.3'!K55,'Simulazione 5.3'!K56)</f>
        <v>1250</v>
      </c>
      <c r="K235" s="106">
        <f>IF('Simulazione 5.3'!L55&lt;'Simulazione 5.3'!L56,'Simulazione 5.3'!L55,'Simulazione 5.3'!L56)</f>
        <v>1250</v>
      </c>
      <c r="L235" s="106">
        <f>IF('Simulazione 5.3'!M55&lt;'Simulazione 5.3'!M56,'Simulazione 5.3'!M55,'Simulazione 5.3'!M56)</f>
        <v>1250</v>
      </c>
      <c r="M235" s="106">
        <f>IF('Simulazione 5.3'!N55&lt;'Simulazione 5.3'!N56,'Simulazione 5.3'!N55,'Simulazione 5.3'!N56)</f>
        <v>1250</v>
      </c>
      <c r="N235" s="106">
        <f>IF('Simulazione 5.3'!O55&lt;'Simulazione 5.3'!O56,'Simulazione 5.3'!O55,'Simulazione 5.3'!O56)</f>
        <v>1250</v>
      </c>
      <c r="O235" s="106">
        <f>IF('Simulazione 5.3'!P55&lt;'Simulazione 5.3'!P56,'Simulazione 5.3'!P55,'Simulazione 5.3'!P56)</f>
        <v>1250</v>
      </c>
      <c r="P235" s="106">
        <f>IF('Simulazione 5.3'!Q55&lt;'Simulazione 5.3'!Q56,'Simulazione 5.3'!Q55,'Simulazione 5.3'!Q56)</f>
        <v>1250</v>
      </c>
      <c r="Q235" s="106">
        <f>IF('Simulazione 5.3'!R55&lt;'Simulazione 5.3'!R56,'Simulazione 5.3'!R55,'Simulazione 5.3'!R56)</f>
        <v>1250</v>
      </c>
      <c r="R235" s="106">
        <f>IF('Simulazione 5.3'!S55&lt;'Simulazione 5.3'!S56,'Simulazione 5.3'!S55,'Simulazione 5.3'!S56)</f>
        <v>1250</v>
      </c>
      <c r="S235" s="106">
        <f>IF('Simulazione 5.3'!T55&lt;'Simulazione 5.3'!T56,'Simulazione 5.3'!T55,'Simulazione 5.3'!T56)</f>
        <v>1250</v>
      </c>
      <c r="T235" s="106">
        <f>IF('Simulazione 5.3'!U55&lt;'Simulazione 5.3'!U56,'Simulazione 5.3'!U55,'Simulazione 5.3'!U56)</f>
        <v>1250</v>
      </c>
      <c r="U235" s="106">
        <f>IF('Simulazione 5.3'!V55&lt;'Simulazione 5.3'!V56,'Simulazione 5.3'!V55,'Simulazione 5.3'!V56)</f>
        <v>1250</v>
      </c>
      <c r="V235" s="106">
        <f>IF('Simulazione 5.3'!W55&lt;'Simulazione 5.3'!W56,'Simulazione 5.3'!W55,'Simulazione 5.3'!W56)</f>
        <v>1250</v>
      </c>
      <c r="W235" s="106">
        <f>IF('Simulazione 5.3'!X55&lt;'Simulazione 5.3'!X56,'Simulazione 5.3'!X55,'Simulazione 5.3'!X56)</f>
        <v>1250</v>
      </c>
      <c r="X235" s="106">
        <f>IF('Simulazione 5.3'!Y55&lt;'Simulazione 5.3'!Y56,'Simulazione 5.3'!Y55,'Simulazione 5.3'!Y56)</f>
        <v>1250</v>
      </c>
      <c r="Y235" s="106">
        <f>IF('Simulazione 5.3'!Z55&lt;'Simulazione 5.3'!Z56,'Simulazione 5.3'!Z55,'Simulazione 5.3'!Z56)</f>
        <v>1250</v>
      </c>
      <c r="Z235" s="106">
        <f>IF('Simulazione 5.3'!AA55&lt;'Simulazione 5.3'!AA56,'Simulazione 5.3'!AA55,'Simulazione 5.3'!AA56)</f>
        <v>1250</v>
      </c>
      <c r="AA235" s="106">
        <f>IF('Simulazione 5.3'!AB55&lt;'Simulazione 5.3'!AB56,'Simulazione 5.3'!AB55,'Simulazione 5.3'!AB56)</f>
        <v>1250</v>
      </c>
      <c r="AB235" s="106">
        <f>IF('Simulazione 5.3'!AC55&lt;'Simulazione 5.3'!AC56,'Simulazione 5.3'!AC55,'Simulazione 5.3'!AC56)</f>
        <v>1250</v>
      </c>
    </row>
    <row r="236" spans="3:28">
      <c r="C236" s="6" t="s">
        <v>169</v>
      </c>
      <c r="D236" s="106">
        <f>'Simulazione 5.3'!E56-Calcoli!D235</f>
        <v>4700</v>
      </c>
      <c r="E236" s="106">
        <f>'Simulazione 5.3'!F56-Calcoli!E235</f>
        <v>4635.2</v>
      </c>
      <c r="F236" s="106">
        <f>'Simulazione 5.3'!G56-Calcoli!F235</f>
        <v>4570.9831999999997</v>
      </c>
      <c r="G236" s="106">
        <f>'Simulazione 5.3'!H56-Calcoli!G235</f>
        <v>4507.3443511999985</v>
      </c>
      <c r="H236" s="106">
        <f>'Simulazione 5.3'!I56-Calcoli!H235</f>
        <v>4444.2782520391975</v>
      </c>
      <c r="I236" s="106">
        <f>'Simulazione 5.3'!J56-Calcoli!I235</f>
        <v>4381.7797477708436</v>
      </c>
      <c r="J236" s="106">
        <f>'Simulazione 5.3'!K56-Calcoli!J235</f>
        <v>4319.8437300409059</v>
      </c>
      <c r="K236" s="106">
        <f>'Simulazione 5.3'!L56-Calcoli!K235</f>
        <v>4258.4651364705369</v>
      </c>
      <c r="L236" s="106">
        <f>'Simulazione 5.3'!M56-Calcoli!L235</f>
        <v>4197.6389502423017</v>
      </c>
      <c r="M236" s="106">
        <f>'Simulazione 5.3'!N56-Calcoli!M235</f>
        <v>4137.3601996901207</v>
      </c>
      <c r="N236" s="106">
        <f>'Simulazione 5.3'!O56-Calcoli!N235</f>
        <v>4077.6239578929089</v>
      </c>
      <c r="O236" s="106">
        <f>'Simulazione 5.3'!P56-Calcoli!O235</f>
        <v>4018.425342271873</v>
      </c>
      <c r="P236" s="106">
        <f>'Simulazione 5.3'!Q56-Calcoli!P235</f>
        <v>3959.7595141914253</v>
      </c>
      <c r="Q236" s="106">
        <f>'Simulazione 5.3'!R56-Calcoli!Q235</f>
        <v>3901.6216785637025</v>
      </c>
      <c r="R236" s="106">
        <f>'Simulazione 5.3'!S56-Calcoli!R235</f>
        <v>3844.0070834566286</v>
      </c>
      <c r="S236" s="106">
        <f>'Simulazione 5.3'!T56-Calcoli!S235</f>
        <v>3786.9110197055188</v>
      </c>
      <c r="T236" s="106">
        <f>'Simulazione 5.3'!U56-Calcoli!T235</f>
        <v>3730.3288205281688</v>
      </c>
      <c r="U236" s="106">
        <f>'Simulazione 5.3'!V56-Calcoli!U235</f>
        <v>3674.2558611434151</v>
      </c>
      <c r="V236" s="106">
        <f>'Simulazione 5.3'!W56-Calcoli!V235</f>
        <v>3618.6875583931242</v>
      </c>
      <c r="W236" s="106">
        <f>'Simulazione 5.3'!X56-Calcoli!W235</f>
        <v>3563.6193703675854</v>
      </c>
      <c r="X236" s="106">
        <f>'Simulazione 5.3'!Y56-Calcoli!X235</f>
        <v>3509.0467960342767</v>
      </c>
      <c r="Y236" s="106">
        <f>'Simulazione 5.3'!Z56-Calcoli!Y235</f>
        <v>3454.9653748699675</v>
      </c>
      <c r="Z236" s="106">
        <f>'Simulazione 5.3'!AA56-Calcoli!Z235</f>
        <v>3401.3706864961378</v>
      </c>
      <c r="AA236" s="106">
        <f>'Simulazione 5.3'!AB56-Calcoli!AA235</f>
        <v>3348.258350317672</v>
      </c>
      <c r="AB236" s="106">
        <f>'Simulazione 5.3'!AC56-Calcoli!AB235</f>
        <v>3295.6240251648123</v>
      </c>
    </row>
    <row r="239" spans="3:28">
      <c r="C239" s="6" t="s">
        <v>176</v>
      </c>
    </row>
    <row r="241" spans="4:28">
      <c r="D241" s="176">
        <v>1</v>
      </c>
      <c r="E241" s="176">
        <v>2</v>
      </c>
      <c r="F241" s="176">
        <v>3</v>
      </c>
      <c r="G241" s="176">
        <v>4</v>
      </c>
      <c r="H241" s="176">
        <v>5</v>
      </c>
      <c r="I241" s="176">
        <v>6</v>
      </c>
      <c r="J241" s="176">
        <v>7</v>
      </c>
      <c r="K241" s="176">
        <v>8</v>
      </c>
      <c r="L241" s="176">
        <v>9</v>
      </c>
      <c r="M241" s="176">
        <v>10</v>
      </c>
      <c r="N241" s="176">
        <v>11</v>
      </c>
      <c r="O241" s="176">
        <v>12</v>
      </c>
      <c r="P241" s="176">
        <v>13</v>
      </c>
      <c r="Q241" s="176">
        <v>14</v>
      </c>
      <c r="R241" s="176">
        <v>15</v>
      </c>
      <c r="S241" s="176">
        <v>16</v>
      </c>
      <c r="T241" s="176">
        <v>17</v>
      </c>
      <c r="U241" s="176">
        <v>18</v>
      </c>
      <c r="V241" s="176">
        <v>19</v>
      </c>
      <c r="W241" s="176">
        <v>20</v>
      </c>
      <c r="X241" s="176">
        <v>21</v>
      </c>
      <c r="Y241" s="176">
        <v>22</v>
      </c>
      <c r="Z241" s="176">
        <v>23</v>
      </c>
      <c r="AA241" s="176">
        <v>24</v>
      </c>
      <c r="AB241" s="176">
        <v>25</v>
      </c>
    </row>
    <row r="242" spans="4:28">
      <c r="D242" s="176">
        <f>'Simulazione 5.3'!C46</f>
        <v>0.18</v>
      </c>
      <c r="E242" s="176">
        <f>D242+(D242/100*'Simulazione 5.3'!$C$49)</f>
        <v>0.18720000000000001</v>
      </c>
      <c r="F242" s="176">
        <f>E242+(E242/100*'Simulazione 5.3'!$C$49)</f>
        <v>0.194688</v>
      </c>
      <c r="G242" s="176">
        <f>F242+(F242/100*'Simulazione 5.3'!$C$49)</f>
        <v>0.20247551999999999</v>
      </c>
      <c r="H242" s="176">
        <f>G242+(G242/100*'Simulazione 5.3'!$C$49)</f>
        <v>0.21057454079999999</v>
      </c>
      <c r="I242" s="176">
        <f>H242+(H242/100*'Simulazione 5.3'!$C$49)</f>
        <v>0.21899752243199999</v>
      </c>
      <c r="J242" s="176">
        <f>I242+(I242/100*'Simulazione 5.3'!$C$49)</f>
        <v>0.22775742332927998</v>
      </c>
      <c r="K242" s="176">
        <f>J242+(J242/100*'Simulazione 5.3'!$C$49)</f>
        <v>0.23686772026245118</v>
      </c>
      <c r="L242" s="176">
        <f>K242+(K242/100*'Simulazione 5.3'!$C$49)</f>
        <v>0.24634242907294923</v>
      </c>
      <c r="M242" s="176">
        <f>L242+(L242/100*'Simulazione 5.3'!$C$49)</f>
        <v>0.25619612623586718</v>
      </c>
      <c r="N242" s="176">
        <f>M242+(M242/100*'Simulazione 5.3'!$C$49)</f>
        <v>0.26644397128530189</v>
      </c>
      <c r="O242" s="176">
        <f>N242+(N242/100*'Simulazione 5.3'!$C$49)</f>
        <v>0.27710173013671396</v>
      </c>
      <c r="P242" s="176">
        <f>O242+(O242/100*'Simulazione 5.3'!$C$49)</f>
        <v>0.28818579934218252</v>
      </c>
      <c r="Q242" s="176">
        <f>P242+(P242/100*'Simulazione 5.3'!$C$49)</f>
        <v>0.2997132313158698</v>
      </c>
      <c r="R242" s="176">
        <f>Q242+(Q242/100*'Simulazione 5.3'!$C$49)</f>
        <v>0.31170176056850457</v>
      </c>
      <c r="S242" s="176">
        <f>R242+(R242/100*'Simulazione 5.3'!$C$49)</f>
        <v>0.32416983099124475</v>
      </c>
      <c r="T242" s="176">
        <f>S242+(S242/100*'Simulazione 5.3'!$C$49)</f>
        <v>0.33713662423089452</v>
      </c>
      <c r="U242" s="176">
        <f>T242+(T242/100*'Simulazione 5.3'!$C$49)</f>
        <v>0.35062208920013033</v>
      </c>
      <c r="V242" s="176">
        <f>U242+(U242/100*'Simulazione 5.3'!$C$49)</f>
        <v>0.36464697276813551</v>
      </c>
      <c r="W242" s="176">
        <f>V242+(V242/100*'Simulazione 5.3'!$C$49)</f>
        <v>0.37923285167886095</v>
      </c>
      <c r="X242" s="176">
        <f>W242+(W242/100*'Simulazione 5.3'!$C$49)</f>
        <v>0.39440216574601539</v>
      </c>
      <c r="Y242" s="176">
        <f>X242+(X242/100*'Simulazione 5.3'!$C$49)</f>
        <v>0.41017825237585598</v>
      </c>
      <c r="Z242" s="176">
        <f>Y242+(Y242/100*'Simulazione 5.3'!$C$49)</f>
        <v>0.42658538247089023</v>
      </c>
      <c r="AA242" s="176">
        <f>Z242+(Z242/100*'Simulazione 5.3'!$C$49)</f>
        <v>0.44364879776972582</v>
      </c>
      <c r="AB242" s="176">
        <f>AA242+(AA242/100*'Simulazione 5.3'!$C$49)</f>
        <v>0.46139474968051486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D119:F119"/>
    <mergeCell ref="F189:G189"/>
    <mergeCell ref="F197:G197"/>
    <mergeCell ref="F205:G205"/>
    <mergeCell ref="F213:G213"/>
    <mergeCell ref="F121:G121"/>
    <mergeCell ref="L121:M121"/>
    <mergeCell ref="F131:G131"/>
    <mergeCell ref="L131:M131"/>
    <mergeCell ref="F182:G182"/>
    <mergeCell ref="L182:M182"/>
    <mergeCell ref="D179:F179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5.3</vt:lpstr>
      <vt:lpstr>Calcoli</vt:lpstr>
      <vt:lpstr>'Simulazione 5.3'!Area_stampa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2012-07-26T09:02:15Z</dcterms:modified>
</cp:coreProperties>
</file>