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calcPr calcId="125725" forceFullCalc="1"/>
</workbook>
</file>

<file path=xl/calcChain.xml><?xml version="1.0" encoding="utf-8"?>
<calcChain xmlns="http://schemas.openxmlformats.org/spreadsheetml/2006/main">
  <c r="E59" i="1"/>
  <c r="C35"/>
  <c r="E57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S41" l="1"/>
  <c r="C28" i="1" s="1"/>
  <c r="C30" l="1"/>
  <c r="H14" i="6" l="1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R20" i="6" l="1"/>
  <c r="P22"/>
  <c r="R22" s="1"/>
  <c r="P23"/>
  <c r="R23" s="1"/>
  <c r="P24"/>
  <c r="R24" s="1"/>
  <c r="P21"/>
  <c r="R21" s="1"/>
  <c r="P2"/>
  <c r="R2" s="1"/>
  <c r="P1"/>
  <c r="R1" s="1"/>
  <c r="P4"/>
  <c r="R4" s="1"/>
  <c r="P3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R3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19" l="1"/>
  <c r="H39"/>
  <c r="N19"/>
  <c r="N39"/>
  <c r="O19"/>
  <c r="I19"/>
  <c r="I51"/>
  <c r="O51"/>
  <c r="I65"/>
  <c r="O65"/>
  <c r="H29"/>
  <c r="R27"/>
  <c r="N29"/>
  <c r="C25" i="1"/>
  <c r="C29" l="1"/>
  <c r="C36"/>
  <c r="E47"/>
  <c r="F20"/>
  <c r="F21"/>
  <c r="E21"/>
  <c r="E20"/>
  <c r="E48"/>
  <c r="E53" s="1"/>
  <c r="F48" l="1"/>
  <c r="F53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E58"/>
  <c r="E61" s="1"/>
  <c r="U58"/>
  <c r="U61" s="1"/>
  <c r="Q58"/>
  <c r="Q61" s="1"/>
  <c r="M58"/>
  <c r="M61" s="1"/>
  <c r="I58"/>
  <c r="I61" s="1"/>
  <c r="V58"/>
  <c r="V61" s="1"/>
  <c r="R58"/>
  <c r="R61" s="1"/>
  <c r="N58"/>
  <c r="N61" s="1"/>
  <c r="J58"/>
  <c r="J61" s="1"/>
  <c r="F58"/>
  <c r="F61" s="1"/>
  <c r="W58"/>
  <c r="W61" s="1"/>
  <c r="S58"/>
  <c r="S61" s="1"/>
  <c r="O58"/>
  <c r="O61" s="1"/>
  <c r="K58"/>
  <c r="K61" s="1"/>
  <c r="G58"/>
  <c r="G61" s="1"/>
  <c r="X58"/>
  <c r="X61" s="1"/>
  <c r="T58"/>
  <c r="T61" s="1"/>
  <c r="P58"/>
  <c r="P61" s="1"/>
  <c r="L58"/>
  <c r="L61" s="1"/>
  <c r="H58"/>
  <c r="H61" s="1"/>
  <c r="E49"/>
  <c r="G48" l="1"/>
  <c r="G53" s="1"/>
  <c r="F49"/>
  <c r="G49" l="1"/>
  <c r="H48"/>
  <c r="H53" s="1"/>
  <c r="H49" l="1"/>
  <c r="I48"/>
  <c r="I53" s="1"/>
  <c r="I49" l="1"/>
  <c r="J48"/>
  <c r="J53" s="1"/>
  <c r="J49" l="1"/>
  <c r="K48"/>
  <c r="K53" s="1"/>
  <c r="K49" l="1"/>
  <c r="L48"/>
  <c r="L53" s="1"/>
  <c r="L49" l="1"/>
  <c r="M48"/>
  <c r="M53" s="1"/>
  <c r="M49" l="1"/>
  <c r="N48"/>
  <c r="N53" s="1"/>
  <c r="N49" l="1"/>
  <c r="O48"/>
  <c r="O53" s="1"/>
  <c r="O49" l="1"/>
  <c r="P48"/>
  <c r="P53" s="1"/>
  <c r="P49" l="1"/>
  <c r="Q48"/>
  <c r="Q53" s="1"/>
  <c r="Q49" l="1"/>
  <c r="R48"/>
  <c r="R53" s="1"/>
  <c r="R49" l="1"/>
  <c r="S48"/>
  <c r="S53" s="1"/>
  <c r="S49" l="1"/>
  <c r="T48"/>
  <c r="T53" s="1"/>
  <c r="T49" l="1"/>
  <c r="U48"/>
  <c r="U53" s="1"/>
  <c r="U49" l="1"/>
  <c r="V48"/>
  <c r="D21"/>
  <c r="D20"/>
  <c r="W48" l="1"/>
  <c r="W52" s="1"/>
  <c r="V53"/>
  <c r="V49"/>
  <c r="V51" s="1"/>
  <c r="E52"/>
  <c r="U52"/>
  <c r="Q52"/>
  <c r="M52"/>
  <c r="I52"/>
  <c r="V52"/>
  <c r="R52"/>
  <c r="N52"/>
  <c r="J52"/>
  <c r="F52"/>
  <c r="S52"/>
  <c r="O52"/>
  <c r="K52"/>
  <c r="G52"/>
  <c r="T52"/>
  <c r="P52"/>
  <c r="L52"/>
  <c r="H52"/>
  <c r="E51"/>
  <c r="U51"/>
  <c r="Q51"/>
  <c r="M51"/>
  <c r="I51"/>
  <c r="R51"/>
  <c r="N51"/>
  <c r="J51"/>
  <c r="F51"/>
  <c r="S51"/>
  <c r="O51"/>
  <c r="K51"/>
  <c r="G51"/>
  <c r="T51"/>
  <c r="P51"/>
  <c r="L51"/>
  <c r="H51"/>
  <c r="X48" l="1"/>
  <c r="X53" s="1"/>
  <c r="W53"/>
  <c r="W49"/>
  <c r="W51" s="1"/>
  <c r="E54"/>
  <c r="E64" s="1"/>
  <c r="F54"/>
  <c r="I54"/>
  <c r="U54"/>
  <c r="O54"/>
  <c r="V54"/>
  <c r="L54"/>
  <c r="G54"/>
  <c r="R54"/>
  <c r="Q54"/>
  <c r="T54"/>
  <c r="J54"/>
  <c r="P54"/>
  <c r="K54"/>
  <c r="H54"/>
  <c r="S54"/>
  <c r="N54"/>
  <c r="M54"/>
  <c r="W54" l="1"/>
  <c r="X49"/>
  <c r="X51" s="1"/>
  <c r="X52"/>
  <c r="F64"/>
  <c r="G64" s="1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l="1"/>
  <c r="X54"/>
  <c r="X64" l="1"/>
</calcChain>
</file>

<file path=xl/sharedStrings.xml><?xml version="1.0" encoding="utf-8"?>
<sst xmlns="http://schemas.openxmlformats.org/spreadsheetml/2006/main" count="193" uniqueCount="106">
  <si>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</si>
  <si>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</si>
  <si>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</si>
  <si>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</si>
  <si>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</si>
  <si>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</si>
  <si>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</si>
  <si>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</si>
  <si>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</si>
  <si>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</si>
  <si>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</si>
  <si>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</si>
  <si>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</si>
  <si>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</si>
  <si>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</si>
  <si>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</si>
  <si>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</si>
  <si>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</si>
  <si>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</si>
  <si>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</si>
  <si>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</si>
  <si>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</si>
  <si>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</si>
  <si>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</si>
  <si>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</si>
  <si>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</si>
  <si>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</si>
  <si>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</si>
  <si>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</si>
  <si>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</si>
  <si>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</si>
  <si>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</si>
  <si>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</si>
  <si>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</si>
  <si>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</si>
  <si>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</si>
  <si>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</si>
  <si>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</si>
  <si>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</si>
  <si>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</si>
  <si>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</si>
  <si>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</si>
  <si>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</si>
  <si>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</si>
  <si>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</si>
  <si>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</si>
  <si>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</si>
  <si>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</si>
  <si>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</si>
  <si>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</si>
  <si>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</si>
  <si>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</si>
  <si>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</si>
  <si>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</si>
  <si>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</si>
  <si>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</si>
  <si>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</si>
  <si>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</si>
  <si>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</si>
  <si>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</si>
  <si>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</si>
  <si>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</si>
  <si>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</si>
  <si>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</si>
  <si>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</si>
  <si>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</si>
  <si>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</si>
  <si>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</si>
  <si>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</si>
  <si>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</si>
  <si>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</si>
  <si>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Produttività (con decadimento pannelli 1% annuo)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</si>
  <si>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</si>
  <si>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</si>
  <si>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</si>
  <si>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</si>
  <si>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</si>
  <si>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</si>
  <si>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</si>
  <si>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</si>
  <si>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</si>
  <si>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</si>
  <si>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</si>
  <si>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</si>
  <si>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</si>
  <si>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</si>
  <si>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</si>
  <si>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</si>
  <si>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</si>
  <si>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</si>
  <si>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</si>
  <si>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</si>
  <si>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</si>
  <si>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</si>
  <si>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</si>
  <si>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</si>
  <si>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</si>
  <si>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</si>
  <si>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</si>
  <si>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</si>
  <si>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</si>
  <si>
    <t>Primo semestre 27-08-2012 / 27-02-2013</t>
  </si>
  <si>
    <t>Secondo Semestre 27-02-2013 / 27-08-2013</t>
  </si>
  <si>
    <t>Terzo semestre 27-08-2013 / 27-02-2014</t>
  </si>
  <si>
    <t>Quarto semestre 27-02-2014 / 27-08-2014</t>
  </si>
  <si>
    <t>Quinto semestre 27-08-2014 / 27-02-2015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</si>
</sst>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4"/>
  <sheetViews>
    <sheetView tabSelected="1" zoomScaleNormal="100" workbookViewId="0">
      <selection activeCell="I10" sqref="I10"/>
    </sheetView>
  </sheetViews>
  <sheetFormatPr defaultRowHeight="15"/>
  <cols>
    <col min="1" max="1" width="14.7109375" style="8" customWidth="1"/>
    <col min="2" max="2" width="20.7109375" style="8" customWidth="1"/>
    <col min="3" max="3" width="10.28515625" style="8" customWidth="1"/>
    <col min="4" max="4" width="9.5703125" style="8" customWidth="1"/>
    <col min="5" max="24" width="8.85546875" style="8" customWidth="1"/>
    <col min="25" max="27" width="9.140625" style="8" customWidth="1"/>
    <col min="28" max="16384" width="9.140625" style="8"/>
  </cols>
  <sheetData>
    <row r="1" spans="1:12" s="3" customFormat="1" ht="18.75">
      <c r="A1" s="3" t="s">
        <v>73</v>
      </c>
    </row>
    <row r="2" spans="1:12" ht="13.5" customHeight="1" thickBot="1"/>
    <row r="3" spans="1:12" ht="16.5" thickBot="1">
      <c r="A3" s="10" t="s">
        <v>6</v>
      </c>
      <c r="B3" s="11"/>
      <c r="C3" s="75">
        <v>25</v>
      </c>
      <c r="D3" s="12" t="s">
        <v>13</v>
      </c>
      <c r="H3" s="103"/>
      <c r="J3" s="124" t="s">
        <v>75</v>
      </c>
      <c r="K3" s="124"/>
      <c r="L3" s="124"/>
    </row>
    <row r="4" spans="1:12" ht="9.75" customHeight="1" thickBot="1">
      <c r="A4" s="13"/>
      <c r="B4" s="13"/>
      <c r="C4" s="14"/>
      <c r="D4" s="13"/>
      <c r="J4" s="104"/>
      <c r="K4" s="104"/>
      <c r="L4" s="104"/>
    </row>
    <row r="5" spans="1:12" ht="15.75" customHeight="1">
      <c r="A5" s="15"/>
      <c r="B5" s="16"/>
      <c r="C5" s="16"/>
      <c r="D5" s="16"/>
      <c r="E5" s="17"/>
      <c r="F5" s="18"/>
      <c r="H5" s="102"/>
      <c r="J5" s="124" t="s">
        <v>76</v>
      </c>
      <c r="K5" s="124"/>
      <c r="L5" s="124"/>
    </row>
    <row r="6" spans="1:12" ht="15.75">
      <c r="A6" s="125" t="s">
        <v>15</v>
      </c>
      <c r="B6" s="126"/>
      <c r="C6" s="126"/>
      <c r="D6" s="13"/>
      <c r="E6" s="4"/>
      <c r="F6" s="9"/>
    </row>
    <row r="7" spans="1:12" ht="15.75">
      <c r="A7" s="21"/>
      <c r="B7" s="13"/>
      <c r="C7" s="13"/>
      <c r="D7" s="13"/>
      <c r="E7" s="4"/>
      <c r="F7" s="9"/>
    </row>
    <row r="8" spans="1:12" ht="15.75">
      <c r="A8" s="125" t="s">
        <v>14</v>
      </c>
      <c r="B8" s="126"/>
      <c r="C8" s="126"/>
      <c r="D8" s="13"/>
      <c r="E8" s="4"/>
      <c r="F8" s="9"/>
    </row>
    <row r="9" spans="1:12" ht="15.75">
      <c r="A9" s="21"/>
      <c r="B9" s="13"/>
      <c r="C9" s="13"/>
      <c r="D9" s="13"/>
      <c r="E9" s="4"/>
      <c r="F9" s="9"/>
    </row>
    <row r="10" spans="1:12" ht="15.75">
      <c r="A10" s="125" t="s">
        <v>87</v>
      </c>
      <c r="B10" s="126"/>
      <c r="C10" s="126"/>
      <c r="D10" s="13"/>
      <c r="E10" s="4"/>
      <c r="F10" s="9"/>
    </row>
    <row r="11" spans="1:12">
      <c r="A11" s="25"/>
      <c r="B11" s="4"/>
      <c r="C11" s="4"/>
      <c r="D11" s="4"/>
      <c r="E11" s="4"/>
      <c r="F11" s="9"/>
    </row>
    <row r="12" spans="1:12" ht="15.75">
      <c r="A12" s="125" t="s">
        <v>88</v>
      </c>
      <c r="B12" s="126"/>
      <c r="C12" s="126"/>
      <c r="D12" s="13"/>
      <c r="E12" s="4"/>
      <c r="F12" s="9"/>
    </row>
    <row r="13" spans="1:12">
      <c r="A13" s="25"/>
      <c r="B13" s="4"/>
      <c r="C13" s="4"/>
      <c r="D13" s="4"/>
      <c r="E13" s="4"/>
      <c r="F13" s="9"/>
    </row>
    <row r="14" spans="1:12" ht="15.75">
      <c r="A14" s="27"/>
      <c r="B14" s="28"/>
      <c r="C14" s="28"/>
      <c r="D14" s="4"/>
      <c r="E14" s="4"/>
      <c r="F14" s="9"/>
    </row>
    <row r="15" spans="1:12" ht="15.75">
      <c r="A15" s="125" t="s">
        <v>19</v>
      </c>
      <c r="B15" s="126"/>
      <c r="C15" s="126"/>
      <c r="D15" s="4"/>
      <c r="E15" s="4"/>
      <c r="F15" s="9"/>
    </row>
    <row r="16" spans="1:12">
      <c r="A16" s="25"/>
      <c r="B16" s="4"/>
      <c r="C16" s="4"/>
      <c r="D16" s="4"/>
      <c r="E16" s="4"/>
      <c r="F16" s="9"/>
    </row>
    <row r="17" spans="1:11" ht="22.5" customHeight="1" thickBot="1">
      <c r="A17" s="32"/>
      <c r="B17" s="22"/>
      <c r="C17" s="22"/>
      <c r="D17" s="22"/>
      <c r="E17" s="22"/>
      <c r="F17" s="23"/>
    </row>
    <row r="18" spans="1:11" ht="13.5" customHeight="1" thickBot="1"/>
    <row r="19" spans="1:11" ht="15.75" thickBot="1">
      <c r="D19" s="33" t="s">
        <v>23</v>
      </c>
      <c r="E19" s="34" t="s">
        <v>22</v>
      </c>
      <c r="F19" s="35" t="s">
        <v>24</v>
      </c>
    </row>
    <row r="20" spans="1:11">
      <c r="A20" s="36" t="s">
        <v>20</v>
      </c>
      <c r="B20" s="37"/>
      <c r="C20" s="38"/>
      <c r="D20" s="39">
        <f>E20+F20</f>
        <v>185</v>
      </c>
      <c r="E20" s="7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0" s="40">
        <f>'Calcoli Titolo II'!R27</f>
        <v>10</v>
      </c>
    </row>
    <row r="21" spans="1:11" ht="15.75" thickBot="1">
      <c r="A21" s="44" t="s">
        <v>21</v>
      </c>
      <c r="B21" s="45"/>
      <c r="C21" s="46"/>
      <c r="D21" s="47">
        <f>E21+F21</f>
        <v>103</v>
      </c>
      <c r="E21" s="48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1" s="49">
        <f>'Calcoli Titolo II'!R27</f>
        <v>10</v>
      </c>
    </row>
    <row r="22" spans="1:11" ht="24" customHeight="1">
      <c r="A22" s="52"/>
      <c r="B22" s="4"/>
      <c r="C22" s="4"/>
      <c r="D22" s="53"/>
      <c r="E22" s="7"/>
      <c r="F22" s="7"/>
    </row>
    <row r="23" spans="1:11" ht="12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55" customFormat="1" ht="22.5" customHeight="1">
      <c r="A24" s="93" t="s">
        <v>37</v>
      </c>
      <c r="B24" s="2"/>
      <c r="C24" s="1">
        <v>1150</v>
      </c>
      <c r="D24" s="54" t="s">
        <v>74</v>
      </c>
      <c r="E24" s="87"/>
      <c r="F24" s="87"/>
      <c r="G24" s="87" t="s">
        <v>26</v>
      </c>
      <c r="H24" s="87"/>
      <c r="I24" s="87"/>
      <c r="J24" s="65"/>
      <c r="K24" s="94"/>
    </row>
    <row r="25" spans="1:11" s="60" customFormat="1" ht="15.75">
      <c r="A25" s="95" t="s">
        <v>27</v>
      </c>
      <c r="B25" s="13"/>
      <c r="C25" s="118">
        <f>$C$3*C24</f>
        <v>28750</v>
      </c>
      <c r="D25" s="107" t="s">
        <v>25</v>
      </c>
      <c r="E25" s="13"/>
      <c r="F25" s="13"/>
      <c r="G25" s="13"/>
      <c r="H25" s="13"/>
      <c r="I25" s="13"/>
      <c r="J25" s="13"/>
      <c r="K25" s="96"/>
    </row>
    <row r="26" spans="1:11" s="60" customFormat="1" ht="15.75">
      <c r="A26" s="95" t="s">
        <v>28</v>
      </c>
      <c r="B26" s="13"/>
      <c r="C26" s="1">
        <v>3500</v>
      </c>
      <c r="D26" s="107" t="s">
        <v>25</v>
      </c>
      <c r="E26" s="115" t="s">
        <v>90</v>
      </c>
      <c r="F26" s="115"/>
      <c r="G26" s="115"/>
      <c r="H26" s="115"/>
      <c r="I26" s="107"/>
      <c r="J26" s="13"/>
      <c r="K26" s="96"/>
    </row>
    <row r="27" spans="1:11" s="60" customFormat="1" ht="15.75">
      <c r="A27" s="95"/>
      <c r="B27" s="13"/>
      <c r="C27" s="64"/>
      <c r="D27" s="109"/>
      <c r="E27" s="109"/>
      <c r="F27" s="109"/>
      <c r="G27" s="109"/>
      <c r="H27" s="109"/>
      <c r="I27" s="109"/>
      <c r="J27" s="13"/>
      <c r="K27" s="96"/>
    </row>
    <row r="28" spans="1:11" s="55" customFormat="1" ht="22.5" customHeight="1">
      <c r="A28" s="93" t="s">
        <v>29</v>
      </c>
      <c r="B28" s="2"/>
      <c r="C28" s="117">
        <f>IF('Calcoli Titolo II'!Q49=1,C26/100*'Calcoli Titolo II'!$S$41,0)</f>
        <v>1750</v>
      </c>
      <c r="D28" s="54" t="s">
        <v>25</v>
      </c>
      <c r="E28" s="65" t="s">
        <v>36</v>
      </c>
      <c r="F28" s="65"/>
      <c r="G28" s="65"/>
      <c r="H28" s="65"/>
      <c r="I28" s="54"/>
      <c r="J28" s="65"/>
      <c r="K28" s="94"/>
    </row>
    <row r="29" spans="1:11" s="60" customFormat="1" ht="15.75">
      <c r="A29" s="97" t="s">
        <v>30</v>
      </c>
      <c r="B29" s="66"/>
      <c r="C29" s="118">
        <f>IF('Calcoli Titolo II'!Q49=1,C25-C28,C25)</f>
        <v>27000</v>
      </c>
      <c r="D29" s="107" t="s">
        <v>25</v>
      </c>
      <c r="E29" s="66"/>
      <c r="F29" s="66"/>
      <c r="G29" s="66"/>
      <c r="H29" s="66"/>
      <c r="I29" s="66"/>
      <c r="J29" s="66"/>
      <c r="K29" s="96"/>
    </row>
    <row r="30" spans="1:11" s="60" customFormat="1" ht="15.75">
      <c r="A30" s="97" t="s">
        <v>31</v>
      </c>
      <c r="B30" s="13"/>
      <c r="C30" s="118">
        <f>IF('Calcoli Titolo II'!Q49=1,C26-C28,0)</f>
        <v>1750</v>
      </c>
      <c r="D30" s="107" t="s">
        <v>25</v>
      </c>
      <c r="E30" s="13"/>
      <c r="F30" s="13"/>
      <c r="G30" s="13"/>
      <c r="H30" s="13"/>
      <c r="I30" s="13"/>
      <c r="J30" s="13"/>
      <c r="K30" s="96"/>
    </row>
    <row r="31" spans="1:11" s="60" customFormat="1" ht="15.75">
      <c r="A31" s="97"/>
      <c r="B31" s="13"/>
      <c r="C31" s="59"/>
      <c r="D31" s="107"/>
      <c r="E31" s="13"/>
      <c r="F31" s="13"/>
      <c r="G31" s="13"/>
      <c r="H31" s="13"/>
      <c r="I31" s="13"/>
      <c r="J31" s="13"/>
      <c r="K31" s="96"/>
    </row>
    <row r="32" spans="1:11" s="60" customFormat="1" ht="15.75">
      <c r="A32" s="97" t="s">
        <v>32</v>
      </c>
      <c r="B32" s="13"/>
      <c r="C32" s="1">
        <v>2000</v>
      </c>
      <c r="D32" s="107" t="s">
        <v>33</v>
      </c>
      <c r="E32" s="88" t="s">
        <v>72</v>
      </c>
      <c r="F32" s="89"/>
      <c r="G32" s="127">
        <f>C32*C3</f>
        <v>50000</v>
      </c>
      <c r="H32" s="127"/>
      <c r="I32" s="13"/>
      <c r="J32" s="13"/>
      <c r="K32" s="96"/>
    </row>
    <row r="33" spans="1:24" s="60" customFormat="1" ht="15.75">
      <c r="A33" s="97" t="s">
        <v>34</v>
      </c>
      <c r="B33" s="13"/>
      <c r="C33" s="1">
        <v>150</v>
      </c>
      <c r="D33" s="107" t="s">
        <v>33</v>
      </c>
      <c r="E33" s="13"/>
      <c r="F33" s="13"/>
      <c r="G33" s="13"/>
      <c r="H33" s="13"/>
      <c r="I33" s="13"/>
      <c r="J33" s="13"/>
      <c r="K33" s="96"/>
    </row>
    <row r="34" spans="1:24" s="60" customFormat="1" ht="15.75">
      <c r="A34" s="97" t="s">
        <v>98</v>
      </c>
      <c r="B34" s="13"/>
      <c r="C34" s="120">
        <v>2</v>
      </c>
      <c r="D34" s="107" t="s">
        <v>69</v>
      </c>
      <c r="E34" s="13"/>
      <c r="F34" s="13"/>
      <c r="G34" s="13"/>
      <c r="H34" s="13"/>
      <c r="I34" s="13"/>
      <c r="J34" s="13"/>
      <c r="K34" s="96"/>
    </row>
    <row r="35" spans="1:24" s="60" customFormat="1" ht="15.75">
      <c r="A35" s="97" t="s">
        <v>91</v>
      </c>
      <c r="B35" s="13"/>
      <c r="C35" s="116">
        <f>IF(C3&lt;20,C3*2,60+((C3-20)*2))</f>
        <v>70</v>
      </c>
      <c r="D35" s="107" t="s">
        <v>33</v>
      </c>
      <c r="E35" s="13"/>
      <c r="F35" s="13"/>
      <c r="G35" s="13"/>
      <c r="H35" s="13"/>
      <c r="I35" s="13"/>
      <c r="J35" s="13"/>
      <c r="K35" s="96"/>
    </row>
    <row r="36" spans="1:24" s="60" customFormat="1" ht="15.75">
      <c r="A36" s="97" t="s">
        <v>92</v>
      </c>
      <c r="B36" s="13"/>
      <c r="C36" s="119">
        <f>0.0005*C25</f>
        <v>14.375</v>
      </c>
      <c r="D36" s="107" t="s">
        <v>33</v>
      </c>
      <c r="E36" s="13"/>
      <c r="F36" s="13"/>
      <c r="G36" s="13"/>
      <c r="H36" s="13"/>
      <c r="I36" s="13"/>
      <c r="J36" s="13"/>
      <c r="K36" s="96"/>
    </row>
    <row r="37" spans="1:24" s="60" customFormat="1" ht="15.75">
      <c r="A37" s="97" t="s">
        <v>94</v>
      </c>
      <c r="B37" s="13"/>
      <c r="C37" s="1">
        <v>242</v>
      </c>
      <c r="D37" s="107" t="s">
        <v>33</v>
      </c>
      <c r="E37" s="66" t="s">
        <v>95</v>
      </c>
      <c r="F37" s="13"/>
      <c r="G37" s="13"/>
      <c r="H37" s="13"/>
      <c r="I37" s="13"/>
      <c r="J37" s="13"/>
      <c r="K37" s="96"/>
    </row>
    <row r="38" spans="1:24" s="60" customFormat="1" ht="15.75">
      <c r="A38" s="97" t="s">
        <v>38</v>
      </c>
      <c r="B38" s="13"/>
      <c r="C38" s="1">
        <v>100</v>
      </c>
      <c r="D38" s="107" t="s">
        <v>33</v>
      </c>
      <c r="E38" s="13"/>
      <c r="F38" s="13"/>
      <c r="G38" s="13"/>
      <c r="H38" s="13"/>
      <c r="I38" s="13"/>
      <c r="J38" s="13"/>
      <c r="K38" s="96"/>
    </row>
    <row r="39" spans="1:24" s="60" customFormat="1" ht="15.75">
      <c r="A39" s="97" t="s">
        <v>35</v>
      </c>
      <c r="B39" s="13"/>
      <c r="C39" s="74">
        <v>0.18</v>
      </c>
      <c r="D39" s="107" t="s">
        <v>33</v>
      </c>
      <c r="E39" s="13"/>
      <c r="F39" s="13"/>
      <c r="G39" s="13"/>
      <c r="H39" s="13"/>
      <c r="I39" s="13"/>
      <c r="J39" s="13"/>
      <c r="K39" s="96"/>
    </row>
    <row r="40" spans="1:24" s="60" customFormat="1" ht="15.75">
      <c r="A40" s="97" t="s">
        <v>96</v>
      </c>
      <c r="B40" s="13"/>
      <c r="C40" s="120">
        <v>1</v>
      </c>
      <c r="D40" s="107" t="s">
        <v>69</v>
      </c>
      <c r="E40" s="66" t="s">
        <v>97</v>
      </c>
      <c r="F40" s="13"/>
      <c r="G40" s="13"/>
      <c r="H40" s="13"/>
      <c r="I40" s="13"/>
      <c r="J40" s="13"/>
      <c r="K40" s="96"/>
    </row>
    <row r="41" spans="1:24" s="60" customFormat="1" ht="15.75">
      <c r="A41" s="97" t="s">
        <v>70</v>
      </c>
      <c r="B41" s="13"/>
      <c r="C41" s="120">
        <v>4</v>
      </c>
      <c r="D41" s="107" t="s">
        <v>69</v>
      </c>
      <c r="E41" s="66" t="s">
        <v>99</v>
      </c>
      <c r="F41" s="13"/>
      <c r="G41" s="13"/>
      <c r="H41" s="13"/>
      <c r="I41" s="13"/>
      <c r="J41" s="13"/>
      <c r="K41" s="96"/>
    </row>
    <row r="42" spans="1:24" s="60" customFormat="1" ht="9" customHeight="1">
      <c r="A42" s="98"/>
      <c r="B42" s="99"/>
      <c r="C42" s="122"/>
      <c r="D42" s="100"/>
      <c r="E42" s="121"/>
      <c r="F42" s="99"/>
      <c r="G42" s="99"/>
      <c r="H42" s="99"/>
      <c r="I42" s="99"/>
      <c r="J42" s="99"/>
      <c r="K42" s="101"/>
    </row>
    <row r="45" spans="1:24">
      <c r="A45" s="73"/>
      <c r="B45" s="73"/>
      <c r="C45" s="73"/>
      <c r="D45" s="73"/>
      <c r="E45" s="77" t="s">
        <v>46</v>
      </c>
      <c r="F45" s="77" t="s">
        <v>50</v>
      </c>
      <c r="G45" s="77" t="s">
        <v>51</v>
      </c>
      <c r="H45" s="77" t="s">
        <v>52</v>
      </c>
      <c r="I45" s="77" t="s">
        <v>53</v>
      </c>
      <c r="J45" s="77" t="s">
        <v>54</v>
      </c>
      <c r="K45" s="77" t="s">
        <v>55</v>
      </c>
      <c r="L45" s="77" t="s">
        <v>56</v>
      </c>
      <c r="M45" s="77" t="s">
        <v>57</v>
      </c>
      <c r="N45" s="77" t="s">
        <v>58</v>
      </c>
      <c r="O45" s="77" t="s">
        <v>59</v>
      </c>
      <c r="P45" s="77" t="s">
        <v>60</v>
      </c>
      <c r="Q45" s="77" t="s">
        <v>61</v>
      </c>
      <c r="R45" s="77" t="s">
        <v>62</v>
      </c>
      <c r="S45" s="77" t="s">
        <v>63</v>
      </c>
      <c r="T45" s="77" t="s">
        <v>64</v>
      </c>
      <c r="U45" s="77" t="s">
        <v>65</v>
      </c>
      <c r="V45" s="77" t="s">
        <v>66</v>
      </c>
      <c r="W45" s="77" t="s">
        <v>67</v>
      </c>
      <c r="X45" s="77" t="s">
        <v>68</v>
      </c>
    </row>
    <row r="46" spans="1:24">
      <c r="A46" s="73"/>
      <c r="B46" s="73"/>
      <c r="C46" s="73"/>
      <c r="D46" s="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5.75">
      <c r="A47" s="76" t="s">
        <v>71</v>
      </c>
      <c r="B47" s="73"/>
      <c r="C47" s="73"/>
      <c r="D47" s="73"/>
      <c r="E47" s="79">
        <f>C25</f>
        <v>28750</v>
      </c>
      <c r="F47" s="79">
        <f t="shared" ref="F47:X47" si="0">E47/100*(100-$C$40)</f>
        <v>28462.5</v>
      </c>
      <c r="G47" s="79">
        <f t="shared" si="0"/>
        <v>28177.875</v>
      </c>
      <c r="H47" s="79">
        <f t="shared" si="0"/>
        <v>27896.096249999999</v>
      </c>
      <c r="I47" s="79">
        <f t="shared" si="0"/>
        <v>27617.135287500001</v>
      </c>
      <c r="J47" s="79">
        <f t="shared" si="0"/>
        <v>27340.963934625004</v>
      </c>
      <c r="K47" s="79">
        <f t="shared" si="0"/>
        <v>27067.554295278755</v>
      </c>
      <c r="L47" s="79">
        <f t="shared" si="0"/>
        <v>26796.878752325971</v>
      </c>
      <c r="M47" s="79">
        <f t="shared" si="0"/>
        <v>26528.909964802711</v>
      </c>
      <c r="N47" s="79">
        <f t="shared" si="0"/>
        <v>26263.620865154684</v>
      </c>
      <c r="O47" s="79">
        <f t="shared" si="0"/>
        <v>26000.984656503137</v>
      </c>
      <c r="P47" s="79">
        <f t="shared" si="0"/>
        <v>25740.974809938103</v>
      </c>
      <c r="Q47" s="79">
        <f t="shared" si="0"/>
        <v>25483.565061838723</v>
      </c>
      <c r="R47" s="79">
        <f t="shared" si="0"/>
        <v>25228.729411220334</v>
      </c>
      <c r="S47" s="79">
        <f t="shared" si="0"/>
        <v>24976.44211710813</v>
      </c>
      <c r="T47" s="79">
        <f t="shared" si="0"/>
        <v>24726.677695937047</v>
      </c>
      <c r="U47" s="79">
        <f t="shared" si="0"/>
        <v>24479.410918977675</v>
      </c>
      <c r="V47" s="79">
        <f t="shared" si="0"/>
        <v>24234.616809787898</v>
      </c>
      <c r="W47" s="79">
        <f t="shared" si="0"/>
        <v>23992.270641690018</v>
      </c>
      <c r="X47" s="79">
        <f t="shared" si="0"/>
        <v>23752.347935273119</v>
      </c>
    </row>
    <row r="48" spans="1:24" ht="15.75">
      <c r="A48" s="76" t="s">
        <v>29</v>
      </c>
      <c r="B48" s="73"/>
      <c r="C48" s="73"/>
      <c r="D48" s="73"/>
      <c r="E48" s="79">
        <f>$C$28</f>
        <v>1750</v>
      </c>
      <c r="F48" s="79">
        <f t="shared" ref="F48:X48" si="1">E48+(E48/100*$C$34)</f>
        <v>1785</v>
      </c>
      <c r="G48" s="79">
        <f t="shared" si="1"/>
        <v>1820.7</v>
      </c>
      <c r="H48" s="79">
        <f t="shared" si="1"/>
        <v>1857.114</v>
      </c>
      <c r="I48" s="79">
        <f t="shared" si="1"/>
        <v>1894.2562800000001</v>
      </c>
      <c r="J48" s="79">
        <f t="shared" si="1"/>
        <v>1932.1414056000001</v>
      </c>
      <c r="K48" s="79">
        <f t="shared" si="1"/>
        <v>1970.7842337120001</v>
      </c>
      <c r="L48" s="79">
        <f t="shared" si="1"/>
        <v>2010.1999183862401</v>
      </c>
      <c r="M48" s="79">
        <f t="shared" si="1"/>
        <v>2050.4039167539649</v>
      </c>
      <c r="N48" s="79">
        <f t="shared" si="1"/>
        <v>2091.4119950890445</v>
      </c>
      <c r="O48" s="79">
        <f t="shared" si="1"/>
        <v>2133.2402349908252</v>
      </c>
      <c r="P48" s="79">
        <f t="shared" si="1"/>
        <v>2175.9050396906418</v>
      </c>
      <c r="Q48" s="79">
        <f t="shared" si="1"/>
        <v>2219.4231404844545</v>
      </c>
      <c r="R48" s="79">
        <f t="shared" si="1"/>
        <v>2263.8116032941434</v>
      </c>
      <c r="S48" s="79">
        <f t="shared" si="1"/>
        <v>2309.0878353600265</v>
      </c>
      <c r="T48" s="79">
        <f t="shared" si="1"/>
        <v>2355.2695920672272</v>
      </c>
      <c r="U48" s="79">
        <f t="shared" si="1"/>
        <v>2402.3749839085717</v>
      </c>
      <c r="V48" s="79">
        <f t="shared" si="1"/>
        <v>2450.4224835867431</v>
      </c>
      <c r="W48" s="79">
        <f t="shared" si="1"/>
        <v>2499.430933258478</v>
      </c>
      <c r="X48" s="79">
        <f t="shared" si="1"/>
        <v>2549.4195519236478</v>
      </c>
    </row>
    <row r="49" spans="1:25" ht="15.75">
      <c r="A49" s="76" t="s">
        <v>39</v>
      </c>
      <c r="B49" s="73"/>
      <c r="C49" s="73"/>
      <c r="D49" s="73"/>
      <c r="E49" s="79">
        <f>E47-E48</f>
        <v>27000</v>
      </c>
      <c r="F49" s="79">
        <f t="shared" ref="F49:X49" si="2">F47-F48</f>
        <v>26677.5</v>
      </c>
      <c r="G49" s="79">
        <f t="shared" si="2"/>
        <v>26357.174999999999</v>
      </c>
      <c r="H49" s="79">
        <f t="shared" si="2"/>
        <v>26038.982249999997</v>
      </c>
      <c r="I49" s="79">
        <f t="shared" si="2"/>
        <v>25722.8790075</v>
      </c>
      <c r="J49" s="79">
        <f t="shared" si="2"/>
        <v>25408.822529025005</v>
      </c>
      <c r="K49" s="79">
        <f t="shared" si="2"/>
        <v>25096.770061566756</v>
      </c>
      <c r="L49" s="79">
        <f t="shared" si="2"/>
        <v>24786.678833939732</v>
      </c>
      <c r="M49" s="79">
        <f t="shared" si="2"/>
        <v>24478.506048048745</v>
      </c>
      <c r="N49" s="79">
        <f t="shared" si="2"/>
        <v>24172.208870065639</v>
      </c>
      <c r="O49" s="79">
        <f t="shared" si="2"/>
        <v>23867.744421512311</v>
      </c>
      <c r="P49" s="79">
        <f t="shared" si="2"/>
        <v>23565.069770247461</v>
      </c>
      <c r="Q49" s="79">
        <f t="shared" si="2"/>
        <v>23264.141921354269</v>
      </c>
      <c r="R49" s="79">
        <f t="shared" si="2"/>
        <v>22964.917807926191</v>
      </c>
      <c r="S49" s="79">
        <f t="shared" si="2"/>
        <v>22667.354281748103</v>
      </c>
      <c r="T49" s="79">
        <f t="shared" si="2"/>
        <v>22371.40810386982</v>
      </c>
      <c r="U49" s="79">
        <f t="shared" si="2"/>
        <v>22077.035935069103</v>
      </c>
      <c r="V49" s="79">
        <f t="shared" si="2"/>
        <v>21784.194326201155</v>
      </c>
      <c r="W49" s="79">
        <f t="shared" si="2"/>
        <v>21492.83970843154</v>
      </c>
      <c r="X49" s="79">
        <f t="shared" si="2"/>
        <v>21202.92838334947</v>
      </c>
    </row>
    <row r="50" spans="1:25" ht="15.75">
      <c r="A50" s="76"/>
      <c r="B50" s="73"/>
      <c r="C50" s="73"/>
      <c r="D50" s="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5" ht="15.75">
      <c r="A51" s="76" t="s">
        <v>40</v>
      </c>
      <c r="B51" s="73"/>
      <c r="C51" s="73"/>
      <c r="D51" s="73"/>
      <c r="E51" s="80">
        <f>$D$20*E49/1000</f>
        <v>4995</v>
      </c>
      <c r="F51" s="80">
        <f t="shared" ref="F51:X51" si="3">$D$20*F49/1000</f>
        <v>4935.3374999999996</v>
      </c>
      <c r="G51" s="80">
        <f t="shared" si="3"/>
        <v>4876.0773749999998</v>
      </c>
      <c r="H51" s="80">
        <f t="shared" si="3"/>
        <v>4817.2117162499999</v>
      </c>
      <c r="I51" s="80">
        <f t="shared" si="3"/>
        <v>4758.7326163874995</v>
      </c>
      <c r="J51" s="80">
        <f t="shared" si="3"/>
        <v>4700.6321678696258</v>
      </c>
      <c r="K51" s="80">
        <f t="shared" si="3"/>
        <v>4642.90246138985</v>
      </c>
      <c r="L51" s="80">
        <f t="shared" si="3"/>
        <v>4585.5355842788504</v>
      </c>
      <c r="M51" s="80">
        <f t="shared" si="3"/>
        <v>4528.5236188890176</v>
      </c>
      <c r="N51" s="80">
        <f t="shared" si="3"/>
        <v>4471.858640962143</v>
      </c>
      <c r="O51" s="80">
        <f t="shared" si="3"/>
        <v>4415.5327179797778</v>
      </c>
      <c r="P51" s="80">
        <f t="shared" si="3"/>
        <v>4359.53790749578</v>
      </c>
      <c r="Q51" s="80">
        <f t="shared" si="3"/>
        <v>4303.866255450539</v>
      </c>
      <c r="R51" s="80">
        <f t="shared" si="3"/>
        <v>4248.5097944663457</v>
      </c>
      <c r="S51" s="80">
        <f t="shared" si="3"/>
        <v>4193.4605421233991</v>
      </c>
      <c r="T51" s="80">
        <f t="shared" si="3"/>
        <v>4138.7104992159166</v>
      </c>
      <c r="U51" s="80">
        <f t="shared" si="3"/>
        <v>4084.2516479877841</v>
      </c>
      <c r="V51" s="80">
        <f t="shared" si="3"/>
        <v>4030.0759503472136</v>
      </c>
      <c r="W51" s="80">
        <f t="shared" si="3"/>
        <v>3976.1753460598352</v>
      </c>
      <c r="X51" s="80">
        <f t="shared" si="3"/>
        <v>3922.5417509196523</v>
      </c>
    </row>
    <row r="52" spans="1:25" ht="15.75">
      <c r="A52" s="76" t="s">
        <v>41</v>
      </c>
      <c r="B52" s="73"/>
      <c r="C52" s="73"/>
      <c r="D52" s="73"/>
      <c r="E52" s="80">
        <f>$D$21*E48/1000</f>
        <v>180.25</v>
      </c>
      <c r="F52" s="80">
        <f t="shared" ref="F52:X52" si="4">$D$21*F48/1000</f>
        <v>183.85499999999999</v>
      </c>
      <c r="G52" s="80">
        <f t="shared" si="4"/>
        <v>187.53210000000001</v>
      </c>
      <c r="H52" s="80">
        <f t="shared" si="4"/>
        <v>191.28274199999998</v>
      </c>
      <c r="I52" s="80">
        <f t="shared" si="4"/>
        <v>195.10839684000001</v>
      </c>
      <c r="J52" s="80">
        <f t="shared" si="4"/>
        <v>199.01056477680001</v>
      </c>
      <c r="K52" s="80">
        <f t="shared" si="4"/>
        <v>202.99077607233602</v>
      </c>
      <c r="L52" s="80">
        <f t="shared" si="4"/>
        <v>207.05059159378274</v>
      </c>
      <c r="M52" s="80">
        <f t="shared" si="4"/>
        <v>211.1916034256584</v>
      </c>
      <c r="N52" s="80">
        <f t="shared" si="4"/>
        <v>215.41543549417156</v>
      </c>
      <c r="O52" s="80">
        <f t="shared" si="4"/>
        <v>219.72374420405498</v>
      </c>
      <c r="P52" s="80">
        <f t="shared" si="4"/>
        <v>224.1182190881361</v>
      </c>
      <c r="Q52" s="80">
        <f t="shared" si="4"/>
        <v>228.60058346989882</v>
      </c>
      <c r="R52" s="80">
        <f t="shared" si="4"/>
        <v>233.17259513929679</v>
      </c>
      <c r="S52" s="80">
        <f t="shared" si="4"/>
        <v>237.83604704208273</v>
      </c>
      <c r="T52" s="80">
        <f t="shared" si="4"/>
        <v>242.59276798292441</v>
      </c>
      <c r="U52" s="80">
        <f t="shared" si="4"/>
        <v>247.4446233425829</v>
      </c>
      <c r="V52" s="80">
        <f t="shared" si="4"/>
        <v>252.39351580943452</v>
      </c>
      <c r="W52" s="80">
        <f t="shared" si="4"/>
        <v>257.44138612562324</v>
      </c>
      <c r="X52" s="80">
        <f t="shared" si="4"/>
        <v>262.5902138481357</v>
      </c>
    </row>
    <row r="53" spans="1:25" ht="15.75">
      <c r="A53" s="76" t="s">
        <v>42</v>
      </c>
      <c r="B53" s="73"/>
      <c r="C53" s="73"/>
      <c r="D53" s="73"/>
      <c r="E53" s="80">
        <f>E48*C39</f>
        <v>315</v>
      </c>
      <c r="F53" s="80">
        <f t="shared" ref="F53:X53" si="5">($C$39*F48)+(($C$39*F48)/100*$C$41)</f>
        <v>334.15199999999999</v>
      </c>
      <c r="G53" s="80">
        <f t="shared" si="5"/>
        <v>340.83503999999999</v>
      </c>
      <c r="H53" s="80">
        <f t="shared" si="5"/>
        <v>347.65174079999997</v>
      </c>
      <c r="I53" s="80">
        <f t="shared" si="5"/>
        <v>354.60477561599998</v>
      </c>
      <c r="J53" s="80">
        <f t="shared" si="5"/>
        <v>361.69687112831997</v>
      </c>
      <c r="K53" s="80">
        <f t="shared" si="5"/>
        <v>368.93080855088641</v>
      </c>
      <c r="L53" s="80">
        <f t="shared" si="5"/>
        <v>376.30942472190412</v>
      </c>
      <c r="M53" s="80">
        <f t="shared" si="5"/>
        <v>383.83561321634221</v>
      </c>
      <c r="N53" s="80">
        <f t="shared" si="5"/>
        <v>391.51232548066912</v>
      </c>
      <c r="O53" s="80">
        <f t="shared" si="5"/>
        <v>399.34257199028247</v>
      </c>
      <c r="P53" s="80">
        <f t="shared" si="5"/>
        <v>407.32942343008813</v>
      </c>
      <c r="Q53" s="80">
        <f t="shared" si="5"/>
        <v>415.47601189868988</v>
      </c>
      <c r="R53" s="80">
        <f t="shared" si="5"/>
        <v>423.78553213666362</v>
      </c>
      <c r="S53" s="80">
        <f t="shared" si="5"/>
        <v>432.26124277939692</v>
      </c>
      <c r="T53" s="80">
        <f t="shared" si="5"/>
        <v>440.90646763498495</v>
      </c>
      <c r="U53" s="80">
        <f t="shared" si="5"/>
        <v>449.72459698768466</v>
      </c>
      <c r="V53" s="80">
        <f t="shared" si="5"/>
        <v>458.71908892743829</v>
      </c>
      <c r="W53" s="80">
        <f t="shared" si="5"/>
        <v>467.89347070598706</v>
      </c>
      <c r="X53" s="80">
        <f t="shared" si="5"/>
        <v>477.25134012010687</v>
      </c>
    </row>
    <row r="54" spans="1:25" ht="15.75">
      <c r="A54" s="76" t="s">
        <v>43</v>
      </c>
      <c r="B54" s="73"/>
      <c r="C54" s="73"/>
      <c r="D54" s="73"/>
      <c r="E54" s="81">
        <f>SUM(E51:E53)</f>
        <v>5490.25</v>
      </c>
      <c r="F54" s="81">
        <f t="shared" ref="F54:X54" si="6">SUM(F51:F53)</f>
        <v>5453.3444999999992</v>
      </c>
      <c r="G54" s="81">
        <f t="shared" si="6"/>
        <v>5404.4445150000001</v>
      </c>
      <c r="H54" s="81">
        <f t="shared" si="6"/>
        <v>5356.1461990500002</v>
      </c>
      <c r="I54" s="81">
        <f t="shared" si="6"/>
        <v>5308.445788843499</v>
      </c>
      <c r="J54" s="81">
        <f t="shared" si="6"/>
        <v>5261.3396037747452</v>
      </c>
      <c r="K54" s="81">
        <f t="shared" si="6"/>
        <v>5214.8240460130728</v>
      </c>
      <c r="L54" s="81">
        <f t="shared" si="6"/>
        <v>5168.8956005945374</v>
      </c>
      <c r="M54" s="81">
        <f t="shared" si="6"/>
        <v>5123.5508355310185</v>
      </c>
      <c r="N54" s="81">
        <f t="shared" si="6"/>
        <v>5078.7864019369845</v>
      </c>
      <c r="O54" s="81">
        <f t="shared" si="6"/>
        <v>5034.5990341741153</v>
      </c>
      <c r="P54" s="81">
        <f t="shared" si="6"/>
        <v>4990.9855500140047</v>
      </c>
      <c r="Q54" s="81">
        <f t="shared" si="6"/>
        <v>4947.9428508191277</v>
      </c>
      <c r="R54" s="81">
        <f t="shared" si="6"/>
        <v>4905.4679217423054</v>
      </c>
      <c r="S54" s="81">
        <f t="shared" si="6"/>
        <v>4863.5578319448787</v>
      </c>
      <c r="T54" s="81">
        <f t="shared" si="6"/>
        <v>4822.2097348338266</v>
      </c>
      <c r="U54" s="81">
        <f t="shared" si="6"/>
        <v>4781.4208683180523</v>
      </c>
      <c r="V54" s="81">
        <f t="shared" si="6"/>
        <v>4741.1885550840861</v>
      </c>
      <c r="W54" s="81">
        <f t="shared" si="6"/>
        <v>4701.5102028914453</v>
      </c>
      <c r="X54" s="81">
        <f t="shared" si="6"/>
        <v>4662.3833048878951</v>
      </c>
    </row>
    <row r="55" spans="1:25" ht="15.75">
      <c r="A55" s="76"/>
      <c r="B55" s="73"/>
      <c r="C55" s="73"/>
      <c r="D55" s="7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5" ht="15.75">
      <c r="A56" s="76" t="s">
        <v>48</v>
      </c>
      <c r="B56" s="73"/>
      <c r="C56" s="73"/>
      <c r="D56" s="73"/>
      <c r="E56" s="80">
        <f>$C$33</f>
        <v>150</v>
      </c>
      <c r="F56" s="80">
        <f t="shared" ref="F56:X56" si="7">$C$33</f>
        <v>150</v>
      </c>
      <c r="G56" s="80">
        <f t="shared" si="7"/>
        <v>150</v>
      </c>
      <c r="H56" s="80">
        <f t="shared" si="7"/>
        <v>150</v>
      </c>
      <c r="I56" s="80">
        <f t="shared" si="7"/>
        <v>150</v>
      </c>
      <c r="J56" s="80">
        <f t="shared" si="7"/>
        <v>150</v>
      </c>
      <c r="K56" s="80">
        <f t="shared" si="7"/>
        <v>150</v>
      </c>
      <c r="L56" s="80">
        <f t="shared" si="7"/>
        <v>150</v>
      </c>
      <c r="M56" s="80">
        <f t="shared" si="7"/>
        <v>150</v>
      </c>
      <c r="N56" s="80">
        <f t="shared" si="7"/>
        <v>150</v>
      </c>
      <c r="O56" s="80">
        <f t="shared" si="7"/>
        <v>150</v>
      </c>
      <c r="P56" s="80">
        <f t="shared" si="7"/>
        <v>150</v>
      </c>
      <c r="Q56" s="80">
        <f t="shared" si="7"/>
        <v>150</v>
      </c>
      <c r="R56" s="80">
        <f t="shared" si="7"/>
        <v>150</v>
      </c>
      <c r="S56" s="80">
        <f t="shared" si="7"/>
        <v>150</v>
      </c>
      <c r="T56" s="80">
        <f t="shared" si="7"/>
        <v>150</v>
      </c>
      <c r="U56" s="80">
        <f t="shared" si="7"/>
        <v>150</v>
      </c>
      <c r="V56" s="80">
        <f t="shared" si="7"/>
        <v>150</v>
      </c>
      <c r="W56" s="80">
        <f t="shared" si="7"/>
        <v>150</v>
      </c>
      <c r="X56" s="80">
        <f t="shared" si="7"/>
        <v>150</v>
      </c>
    </row>
    <row r="57" spans="1:25" ht="15.75">
      <c r="A57" s="76" t="s">
        <v>93</v>
      </c>
      <c r="B57" s="73"/>
      <c r="C57" s="73"/>
      <c r="D57" s="73"/>
      <c r="E57" s="80">
        <f>C35</f>
        <v>70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/>
    </row>
    <row r="58" spans="1:25" ht="15.75">
      <c r="A58" s="76" t="s">
        <v>92</v>
      </c>
      <c r="B58" s="73"/>
      <c r="C58" s="73"/>
      <c r="D58" s="73"/>
      <c r="E58" s="80">
        <f>$C$36</f>
        <v>14.375</v>
      </c>
      <c r="F58" s="80">
        <f t="shared" ref="F58:X58" si="8">$C$36</f>
        <v>14.375</v>
      </c>
      <c r="G58" s="80">
        <f t="shared" si="8"/>
        <v>14.375</v>
      </c>
      <c r="H58" s="80">
        <f t="shared" si="8"/>
        <v>14.375</v>
      </c>
      <c r="I58" s="80">
        <f t="shared" si="8"/>
        <v>14.375</v>
      </c>
      <c r="J58" s="80">
        <f t="shared" si="8"/>
        <v>14.375</v>
      </c>
      <c r="K58" s="80">
        <f t="shared" si="8"/>
        <v>14.375</v>
      </c>
      <c r="L58" s="80">
        <f t="shared" si="8"/>
        <v>14.375</v>
      </c>
      <c r="M58" s="80">
        <f t="shared" si="8"/>
        <v>14.375</v>
      </c>
      <c r="N58" s="80">
        <f t="shared" si="8"/>
        <v>14.375</v>
      </c>
      <c r="O58" s="80">
        <f t="shared" si="8"/>
        <v>14.375</v>
      </c>
      <c r="P58" s="80">
        <f t="shared" si="8"/>
        <v>14.375</v>
      </c>
      <c r="Q58" s="80">
        <f t="shared" si="8"/>
        <v>14.375</v>
      </c>
      <c r="R58" s="80">
        <f t="shared" si="8"/>
        <v>14.375</v>
      </c>
      <c r="S58" s="80">
        <f t="shared" si="8"/>
        <v>14.375</v>
      </c>
      <c r="T58" s="80">
        <f t="shared" si="8"/>
        <v>14.375</v>
      </c>
      <c r="U58" s="80">
        <f t="shared" si="8"/>
        <v>14.375</v>
      </c>
      <c r="V58" s="80">
        <f t="shared" si="8"/>
        <v>14.375</v>
      </c>
      <c r="W58" s="80">
        <f t="shared" si="8"/>
        <v>14.375</v>
      </c>
      <c r="X58" s="80">
        <f t="shared" si="8"/>
        <v>14.375</v>
      </c>
    </row>
    <row r="59" spans="1:25" ht="15.75">
      <c r="A59" s="76" t="s">
        <v>100</v>
      </c>
      <c r="B59" s="73"/>
      <c r="C59" s="73"/>
      <c r="D59" s="73"/>
      <c r="E59" s="80">
        <f>C37</f>
        <v>242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</row>
    <row r="60" spans="1:25" ht="15.75">
      <c r="A60" s="76" t="s">
        <v>47</v>
      </c>
      <c r="B60" s="73"/>
      <c r="C60" s="73"/>
      <c r="D60" s="73"/>
      <c r="E60" s="80">
        <f t="shared" ref="E60:X60" si="9">$C$38</f>
        <v>100</v>
      </c>
      <c r="F60" s="80">
        <f t="shared" si="9"/>
        <v>100</v>
      </c>
      <c r="G60" s="80">
        <f t="shared" si="9"/>
        <v>100</v>
      </c>
      <c r="H60" s="80">
        <f t="shared" si="9"/>
        <v>100</v>
      </c>
      <c r="I60" s="80">
        <f t="shared" si="9"/>
        <v>100</v>
      </c>
      <c r="J60" s="80">
        <f t="shared" si="9"/>
        <v>100</v>
      </c>
      <c r="K60" s="80">
        <f t="shared" si="9"/>
        <v>100</v>
      </c>
      <c r="L60" s="80">
        <f t="shared" si="9"/>
        <v>100</v>
      </c>
      <c r="M60" s="80">
        <f t="shared" si="9"/>
        <v>100</v>
      </c>
      <c r="N60" s="80">
        <f t="shared" si="9"/>
        <v>100</v>
      </c>
      <c r="O60" s="80">
        <f t="shared" si="9"/>
        <v>100</v>
      </c>
      <c r="P60" s="80">
        <f t="shared" si="9"/>
        <v>100</v>
      </c>
      <c r="Q60" s="80">
        <f t="shared" si="9"/>
        <v>100</v>
      </c>
      <c r="R60" s="80">
        <f t="shared" si="9"/>
        <v>100</v>
      </c>
      <c r="S60" s="80">
        <f t="shared" si="9"/>
        <v>100</v>
      </c>
      <c r="T60" s="80">
        <f t="shared" si="9"/>
        <v>100</v>
      </c>
      <c r="U60" s="80">
        <f t="shared" si="9"/>
        <v>100</v>
      </c>
      <c r="V60" s="80">
        <f t="shared" si="9"/>
        <v>100</v>
      </c>
      <c r="W60" s="80">
        <f t="shared" si="9"/>
        <v>100</v>
      </c>
      <c r="X60" s="80">
        <f t="shared" si="9"/>
        <v>100</v>
      </c>
    </row>
    <row r="61" spans="1:25" ht="15.75">
      <c r="A61" s="76" t="s">
        <v>49</v>
      </c>
      <c r="B61" s="73"/>
      <c r="C61" s="73"/>
      <c r="D61" s="73"/>
      <c r="E61" s="81">
        <f>SUM(E56:E60)</f>
        <v>576.375</v>
      </c>
      <c r="F61" s="81">
        <f>SUM(F56:F60)</f>
        <v>264.375</v>
      </c>
      <c r="G61" s="81">
        <f t="shared" ref="G61:X61" si="10">SUM(G56:G60)</f>
        <v>264.375</v>
      </c>
      <c r="H61" s="81">
        <f t="shared" si="10"/>
        <v>264.375</v>
      </c>
      <c r="I61" s="81">
        <f t="shared" si="10"/>
        <v>264.375</v>
      </c>
      <c r="J61" s="81">
        <f t="shared" si="10"/>
        <v>264.375</v>
      </c>
      <c r="K61" s="81">
        <f t="shared" si="10"/>
        <v>264.375</v>
      </c>
      <c r="L61" s="81">
        <f t="shared" si="10"/>
        <v>264.375</v>
      </c>
      <c r="M61" s="81">
        <f t="shared" si="10"/>
        <v>264.375</v>
      </c>
      <c r="N61" s="81">
        <f t="shared" si="10"/>
        <v>264.375</v>
      </c>
      <c r="O61" s="81">
        <f t="shared" si="10"/>
        <v>264.375</v>
      </c>
      <c r="P61" s="81">
        <f t="shared" si="10"/>
        <v>264.375</v>
      </c>
      <c r="Q61" s="81">
        <f t="shared" si="10"/>
        <v>264.375</v>
      </c>
      <c r="R61" s="81">
        <f t="shared" si="10"/>
        <v>264.375</v>
      </c>
      <c r="S61" s="81">
        <f t="shared" si="10"/>
        <v>264.375</v>
      </c>
      <c r="T61" s="81">
        <f t="shared" si="10"/>
        <v>264.375</v>
      </c>
      <c r="U61" s="81">
        <f t="shared" si="10"/>
        <v>264.375</v>
      </c>
      <c r="V61" s="81">
        <f t="shared" si="10"/>
        <v>264.375</v>
      </c>
      <c r="W61" s="81">
        <f t="shared" si="10"/>
        <v>264.375</v>
      </c>
      <c r="X61" s="81">
        <f t="shared" si="10"/>
        <v>264.375</v>
      </c>
    </row>
    <row r="62" spans="1:25" ht="15.75">
      <c r="A62" s="60"/>
      <c r="B62" s="73"/>
      <c r="C62" s="73"/>
      <c r="D62" s="7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5" ht="16.5" thickBot="1">
      <c r="A63" s="76" t="s">
        <v>44</v>
      </c>
      <c r="B63" s="73"/>
      <c r="C63" s="73"/>
      <c r="D63" s="73"/>
      <c r="E63" s="82">
        <v>1</v>
      </c>
      <c r="F63" s="82">
        <v>2</v>
      </c>
      <c r="G63" s="82">
        <v>3</v>
      </c>
      <c r="H63" s="82">
        <v>4</v>
      </c>
      <c r="I63" s="82">
        <v>5</v>
      </c>
      <c r="J63" s="82">
        <v>6</v>
      </c>
      <c r="K63" s="82">
        <v>7</v>
      </c>
      <c r="L63" s="82">
        <v>8</v>
      </c>
      <c r="M63" s="82">
        <v>9</v>
      </c>
      <c r="N63" s="82">
        <v>10</v>
      </c>
      <c r="O63" s="82">
        <v>11</v>
      </c>
      <c r="P63" s="82">
        <v>12</v>
      </c>
      <c r="Q63" s="82">
        <v>13</v>
      </c>
      <c r="R63" s="82">
        <v>14</v>
      </c>
      <c r="S63" s="82">
        <v>15</v>
      </c>
      <c r="T63" s="82">
        <v>16</v>
      </c>
      <c r="U63" s="82">
        <v>17</v>
      </c>
      <c r="V63" s="82">
        <v>18</v>
      </c>
      <c r="W63" s="82">
        <v>19</v>
      </c>
      <c r="X63" s="82">
        <v>20</v>
      </c>
    </row>
    <row r="64" spans="1:25" ht="16.5" thickBot="1">
      <c r="A64" s="76" t="s">
        <v>45</v>
      </c>
      <c r="B64" s="73"/>
      <c r="C64" s="73"/>
      <c r="D64" s="73"/>
      <c r="E64" s="83">
        <f>-(C3*C32)-E61+E54</f>
        <v>-45086.125</v>
      </c>
      <c r="F64" s="83">
        <f t="shared" ref="F64:X64" si="11">E64+F54-F61</f>
        <v>-39897.155500000001</v>
      </c>
      <c r="G64" s="83">
        <f t="shared" si="11"/>
        <v>-34757.085984999998</v>
      </c>
      <c r="H64" s="83">
        <f t="shared" si="11"/>
        <v>-29665.314785949999</v>
      </c>
      <c r="I64" s="83">
        <f t="shared" si="11"/>
        <v>-24621.2439971065</v>
      </c>
      <c r="J64" s="83">
        <f t="shared" si="11"/>
        <v>-19624.279393331755</v>
      </c>
      <c r="K64" s="83">
        <f t="shared" si="11"/>
        <v>-14673.830347318682</v>
      </c>
      <c r="L64" s="83">
        <f t="shared" si="11"/>
        <v>-9769.309746724146</v>
      </c>
      <c r="M64" s="83">
        <f t="shared" si="11"/>
        <v>-4910.1339111931275</v>
      </c>
      <c r="N64" s="83">
        <f t="shared" si="11"/>
        <v>-95.722509256142985</v>
      </c>
      <c r="O64" s="83">
        <f t="shared" si="11"/>
        <v>4674.5015249179723</v>
      </c>
      <c r="P64" s="83">
        <f t="shared" si="11"/>
        <v>9401.112074931978</v>
      </c>
      <c r="Q64" s="83">
        <f t="shared" si="11"/>
        <v>14084.679925751105</v>
      </c>
      <c r="R64" s="83">
        <f t="shared" si="11"/>
        <v>18725.772847493412</v>
      </c>
      <c r="S64" s="83">
        <f t="shared" si="11"/>
        <v>23324.955679438292</v>
      </c>
      <c r="T64" s="83">
        <f t="shared" si="11"/>
        <v>27882.790414272116</v>
      </c>
      <c r="U64" s="83">
        <f t="shared" si="11"/>
        <v>32399.836282590168</v>
      </c>
      <c r="V64" s="83">
        <f t="shared" si="11"/>
        <v>36876.649837674253</v>
      </c>
      <c r="W64" s="83">
        <f t="shared" si="11"/>
        <v>41313.785040565701</v>
      </c>
      <c r="X64" s="83">
        <f t="shared" si="11"/>
        <v>45711.793345453596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J3:L3"/>
    <mergeCell ref="J5:L5"/>
    <mergeCell ref="A12:C12"/>
    <mergeCell ref="G32:H32"/>
    <mergeCell ref="A15:C15"/>
    <mergeCell ref="A6:C6"/>
    <mergeCell ref="A8:C8"/>
    <mergeCell ref="A10:C10"/>
  </mergeCells>
  <conditionalFormatting sqref="E64:X6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C35:C36" unlockedFormula="1"/>
    <ignoredError sqref="E5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U68"/>
  <sheetViews>
    <sheetView zoomScaleNormal="100" workbookViewId="0">
      <selection activeCell="E6" sqref="E6"/>
    </sheetView>
  </sheetViews>
  <sheetFormatPr defaultRowHeight="15"/>
  <cols>
    <col min="1" max="4" width="9.140625" style="8" customWidth="1"/>
    <col min="5" max="5" width="10.85546875" style="8" customWidth="1"/>
    <col min="6" max="7" width="9.140625" style="8" customWidth="1"/>
    <col min="8" max="8" width="7.42578125" style="8" customWidth="1"/>
    <col min="9" max="9" width="7" style="8" customWidth="1"/>
    <col min="10" max="11" width="9.140625" style="8" customWidth="1"/>
    <col min="12" max="12" width="8.5703125" style="8" customWidth="1"/>
    <col min="13" max="13" width="9.140625" style="8" customWidth="1"/>
    <col min="14" max="14" width="7.28515625" style="8" customWidth="1"/>
    <col min="15" max="15" width="8" style="8" customWidth="1"/>
    <col min="16" max="16" width="9.140625" style="8" customWidth="1"/>
    <col min="17" max="17" width="9.140625" style="108" customWidth="1"/>
    <col min="18" max="21" width="9.140625" style="8" customWidth="1"/>
    <col min="22" max="16384" width="9.140625" style="8"/>
  </cols>
  <sheetData>
    <row r="1" spans="4:18" s="3" customFormat="1" ht="18.75">
      <c r="D1" s="131">
        <v>1</v>
      </c>
      <c r="E1" s="4" t="s">
        <v>101</v>
      </c>
      <c r="F1" s="5"/>
      <c r="H1" s="4" t="s">
        <v>18</v>
      </c>
      <c r="I1" s="4"/>
      <c r="J1" s="4"/>
      <c r="K1" s="4">
        <v>3</v>
      </c>
      <c r="L1" s="4">
        <v>4</v>
      </c>
      <c r="M1" s="6">
        <f>'Impianti Titolo II'!C3</f>
        <v>25</v>
      </c>
      <c r="N1" s="4"/>
      <c r="O1" s="4"/>
      <c r="P1" s="4" t="b">
        <f>AND($K$1=1,$L$1=1,$M$1&lt;20)</f>
        <v>0</v>
      </c>
      <c r="Q1" s="7">
        <v>0</v>
      </c>
      <c r="R1" s="4">
        <f>IF(P1=TRUE,Q1,0)</f>
        <v>0</v>
      </c>
    </row>
    <row r="2" spans="4:18">
      <c r="D2" s="132"/>
      <c r="E2" s="4" t="s">
        <v>102</v>
      </c>
      <c r="F2" s="9"/>
      <c r="H2" s="4" t="s">
        <v>17</v>
      </c>
      <c r="I2" s="4"/>
      <c r="J2" s="4"/>
      <c r="K2" s="4"/>
      <c r="P2" s="4" t="b">
        <f>AND($K$1=1,$L$1=2,$M$1&lt;20)</f>
        <v>0</v>
      </c>
      <c r="Q2" s="7">
        <v>30</v>
      </c>
      <c r="R2" s="4">
        <f>IF(P2=TRUE,Q2,0)</f>
        <v>0</v>
      </c>
    </row>
    <row r="3" spans="4:18">
      <c r="D3" s="132"/>
      <c r="E3" s="4" t="s">
        <v>103</v>
      </c>
      <c r="F3" s="9"/>
      <c r="H3" s="4" t="s">
        <v>16</v>
      </c>
      <c r="I3" s="4"/>
      <c r="J3" s="4"/>
      <c r="K3" s="4"/>
      <c r="P3" s="4" t="b">
        <f>AND($K$1=1,$L$1=3,$M$1&lt;20)</f>
        <v>0</v>
      </c>
      <c r="Q3" s="7">
        <v>20</v>
      </c>
      <c r="R3" s="4">
        <f t="shared" ref="R3" si="0">IF(P3=TRUE,Q3,0)</f>
        <v>0</v>
      </c>
    </row>
    <row r="4" spans="4:18">
      <c r="D4" s="132"/>
      <c r="E4" s="4" t="s">
        <v>104</v>
      </c>
      <c r="F4" s="9"/>
      <c r="H4" s="4"/>
      <c r="I4" s="4"/>
      <c r="J4" s="4"/>
      <c r="K4" s="4"/>
      <c r="P4" s="4" t="b">
        <f>AND($K$1=1,$L$1=4,$M$1&lt;20)</f>
        <v>0</v>
      </c>
      <c r="Q4" s="20">
        <v>50</v>
      </c>
      <c r="R4" s="4">
        <f t="shared" ref="R4:R19" si="1">IF(P4=TRUE,Q4,0)</f>
        <v>0</v>
      </c>
    </row>
    <row r="5" spans="4:18">
      <c r="D5" s="132"/>
      <c r="E5" s="4" t="s">
        <v>105</v>
      </c>
      <c r="F5" s="9"/>
      <c r="H5" s="19"/>
      <c r="P5" s="4" t="b">
        <f>AND($K$1=2,$L$1=1,$M$1&lt;20)</f>
        <v>0</v>
      </c>
      <c r="Q5" s="7">
        <v>0</v>
      </c>
      <c r="R5" s="4">
        <f t="shared" si="1"/>
        <v>0</v>
      </c>
    </row>
    <row r="6" spans="4:18" ht="15.75" thickBot="1">
      <c r="E6" s="4"/>
      <c r="H6" s="19"/>
      <c r="P6" s="4" t="b">
        <f>AND($K$1=2,$L$1=2,$M$1&lt;20)</f>
        <v>0</v>
      </c>
      <c r="Q6" s="20">
        <v>20</v>
      </c>
      <c r="R6" s="4">
        <f t="shared" si="1"/>
        <v>0</v>
      </c>
    </row>
    <row r="7" spans="4:18">
      <c r="D7" s="131">
        <v>1</v>
      </c>
      <c r="E7" s="17" t="s">
        <v>0</v>
      </c>
      <c r="F7" s="18"/>
      <c r="P7" s="4" t="b">
        <f>AND($K$1=2,$L$1=3,$M$1&lt;20)</f>
        <v>0</v>
      </c>
      <c r="Q7" s="20">
        <v>10</v>
      </c>
      <c r="R7" s="4">
        <f t="shared" si="1"/>
        <v>0</v>
      </c>
    </row>
    <row r="8" spans="4:18" ht="15.75" thickBot="1">
      <c r="D8" s="133"/>
      <c r="E8" s="22" t="s">
        <v>1</v>
      </c>
      <c r="F8" s="23"/>
      <c r="P8" s="4" t="b">
        <f>AND($K$1=2,$L$1=4,$M$1&lt;20)</f>
        <v>0</v>
      </c>
      <c r="Q8" s="20">
        <v>30</v>
      </c>
      <c r="R8" s="4">
        <f t="shared" si="1"/>
        <v>0</v>
      </c>
    </row>
    <row r="9" spans="4:18">
      <c r="P9" s="4" t="b">
        <f>AND($K$1=3,$L$1=1,$M$1&lt;20)</f>
        <v>0</v>
      </c>
      <c r="Q9" s="7">
        <v>0</v>
      </c>
      <c r="R9" s="4">
        <f t="shared" si="1"/>
        <v>0</v>
      </c>
    </row>
    <row r="10" spans="4:18" ht="15.7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" t="b">
        <f>AND($K$1=3,$L$1=2,$M$1&lt;20)</f>
        <v>0</v>
      </c>
      <c r="Q10" s="20">
        <v>10</v>
      </c>
      <c r="R10" s="4">
        <f t="shared" si="1"/>
        <v>0</v>
      </c>
    </row>
    <row r="11" spans="4:18">
      <c r="D11" s="26"/>
      <c r="E11" s="17"/>
      <c r="F11" s="128" t="s">
        <v>4</v>
      </c>
      <c r="G11" s="129"/>
      <c r="H11" s="108"/>
      <c r="I11" s="108"/>
      <c r="J11" s="105"/>
      <c r="K11" s="17"/>
      <c r="L11" s="128" t="s">
        <v>5</v>
      </c>
      <c r="M11" s="129"/>
      <c r="N11" s="4"/>
      <c r="O11" s="4"/>
      <c r="P11" s="4" t="b">
        <f>AND($K$1=3,$L$1=3,$M$1&lt;20)</f>
        <v>0</v>
      </c>
      <c r="Q11" s="20">
        <v>5</v>
      </c>
      <c r="R11" s="4">
        <f t="shared" si="1"/>
        <v>0</v>
      </c>
    </row>
    <row r="12" spans="4:18">
      <c r="D12" s="25"/>
      <c r="E12" s="4"/>
      <c r="F12" s="7" t="s">
        <v>2</v>
      </c>
      <c r="G12" s="29" t="s">
        <v>3</v>
      </c>
      <c r="H12" s="108"/>
      <c r="I12" s="108"/>
      <c r="J12" s="106"/>
      <c r="K12" s="4"/>
      <c r="L12" s="7" t="s">
        <v>2</v>
      </c>
      <c r="M12" s="29" t="s">
        <v>3</v>
      </c>
      <c r="N12" s="30"/>
      <c r="O12" s="30"/>
      <c r="P12" s="4" t="b">
        <f>AND($K$1=3,$L$1=4,$M$1&lt;20)</f>
        <v>0</v>
      </c>
      <c r="Q12" s="20">
        <v>15</v>
      </c>
      <c r="R12" s="4">
        <f t="shared" si="1"/>
        <v>0</v>
      </c>
    </row>
    <row r="13" spans="4:18">
      <c r="D13" s="25" t="b">
        <f>AND($D$1=1,$D$7=1,'Impianti Titolo II'!$C$3&lt;=3,'Impianti Titolo II'!$C$3&gt;=1)</f>
        <v>0</v>
      </c>
      <c r="E13" s="31" t="s">
        <v>7</v>
      </c>
      <c r="F13" s="7">
        <v>208</v>
      </c>
      <c r="G13" s="29">
        <f t="shared" ref="G13:G18" si="2">F13-82</f>
        <v>126</v>
      </c>
      <c r="H13" s="108">
        <f t="shared" ref="H13:H18" si="3">IF(D13=TRUE,F13,0)</f>
        <v>0</v>
      </c>
      <c r="I13" s="108">
        <f t="shared" ref="I13:I18" si="4">IF(D13=TRUE,G13,0)</f>
        <v>0</v>
      </c>
      <c r="J13" s="25" t="b">
        <f>AND($D$1=1,$D$7=2,'Impianti Titolo II'!$C$3&lt;=3,'Impianti Titolo II'!$C$3&gt;=1)</f>
        <v>0</v>
      </c>
      <c r="K13" s="31" t="s">
        <v>7</v>
      </c>
      <c r="L13" s="7">
        <v>201</v>
      </c>
      <c r="M13" s="29">
        <f t="shared" ref="M13:M18" si="5">L13-82</f>
        <v>119</v>
      </c>
      <c r="N13" s="7">
        <f>IF(J13=TRUE,L13,0)</f>
        <v>0</v>
      </c>
      <c r="O13" s="7">
        <f>IF(J13=TRUE,M13,0)</f>
        <v>0</v>
      </c>
      <c r="P13" s="4" t="b">
        <f>AND($K$1=1,$L$1=1,$M$1&gt;20)</f>
        <v>0</v>
      </c>
      <c r="Q13" s="108">
        <v>0</v>
      </c>
      <c r="R13" s="4">
        <f t="shared" si="1"/>
        <v>0</v>
      </c>
    </row>
    <row r="14" spans="4:18">
      <c r="D14" s="25" t="b">
        <f>AND($D$1=1,$D$7=1,'Impianti Titolo II'!$C$3&lt;=20,'Impianti Titolo II'!$C$3&gt;3)</f>
        <v>0</v>
      </c>
      <c r="E14" s="31" t="s">
        <v>8</v>
      </c>
      <c r="F14" s="7">
        <v>196</v>
      </c>
      <c r="G14" s="29">
        <f t="shared" si="2"/>
        <v>114</v>
      </c>
      <c r="H14" s="108">
        <f t="shared" si="3"/>
        <v>0</v>
      </c>
      <c r="I14" s="108">
        <f t="shared" si="4"/>
        <v>0</v>
      </c>
      <c r="J14" s="25" t="b">
        <f>AND($D$1=1,$D$7=2,'Impianti Titolo II'!$C$3&lt;=20,'Impianti Titolo II'!$C$3&gt;3)</f>
        <v>0</v>
      </c>
      <c r="K14" s="31" t="s">
        <v>8</v>
      </c>
      <c r="L14" s="7">
        <v>189</v>
      </c>
      <c r="M14" s="29">
        <f t="shared" si="5"/>
        <v>107</v>
      </c>
      <c r="N14" s="7">
        <f t="shared" ref="N14:N18" si="6">IF(J14=TRUE,L14,0)</f>
        <v>0</v>
      </c>
      <c r="O14" s="7">
        <f t="shared" ref="O14:O18" si="7">IF(J14=TRUE,M14,0)</f>
        <v>0</v>
      </c>
      <c r="P14" s="4" t="b">
        <f>AND($K$1=1,$L$1=2,$M$1&gt;20)</f>
        <v>0</v>
      </c>
      <c r="Q14" s="108">
        <v>20</v>
      </c>
      <c r="R14" s="4">
        <f t="shared" si="1"/>
        <v>0</v>
      </c>
    </row>
    <row r="15" spans="4:18" ht="22.5" customHeight="1">
      <c r="D15" s="25" t="b">
        <f>AND($D$1=1,$D$7=1,'Impianti Titolo II'!$C$3&lt;=200,'Impianti Titolo II'!$C$3&gt;20)</f>
        <v>1</v>
      </c>
      <c r="E15" s="31" t="s">
        <v>9</v>
      </c>
      <c r="F15" s="7">
        <v>175</v>
      </c>
      <c r="G15" s="29">
        <f t="shared" si="2"/>
        <v>93</v>
      </c>
      <c r="H15" s="108">
        <f t="shared" si="3"/>
        <v>175</v>
      </c>
      <c r="I15" s="108">
        <f t="shared" si="4"/>
        <v>93</v>
      </c>
      <c r="J15" s="25" t="b">
        <f>AND($D$1=1,$D$7=2,'Impianti Titolo II'!$C$3&lt;=200,'Impianti Titolo II'!$C$3&gt;20)</f>
        <v>0</v>
      </c>
      <c r="K15" s="31" t="s">
        <v>9</v>
      </c>
      <c r="L15" s="7">
        <v>168</v>
      </c>
      <c r="M15" s="29">
        <f t="shared" si="5"/>
        <v>86</v>
      </c>
      <c r="N15" s="7">
        <f t="shared" si="6"/>
        <v>0</v>
      </c>
      <c r="O15" s="7">
        <f t="shared" si="7"/>
        <v>0</v>
      </c>
      <c r="P15" s="4" t="b">
        <f>AND($K$1=1,$L$1=3,$M$1&gt;20)</f>
        <v>0</v>
      </c>
      <c r="Q15" s="108">
        <v>20</v>
      </c>
      <c r="R15" s="4">
        <f t="shared" si="1"/>
        <v>0</v>
      </c>
    </row>
    <row r="16" spans="4:18" ht="13.5" customHeight="1">
      <c r="D16" s="25" t="b">
        <f>AND($D$1=1,$D$7=1,'Impianti Titolo II'!$C$3&lt;=1000,'Impianti Titolo II'!$C$3&gt;200)</f>
        <v>0</v>
      </c>
      <c r="E16" s="31" t="s">
        <v>10</v>
      </c>
      <c r="F16" s="7">
        <v>142</v>
      </c>
      <c r="G16" s="29">
        <f t="shared" si="2"/>
        <v>60</v>
      </c>
      <c r="H16" s="108">
        <f t="shared" si="3"/>
        <v>0</v>
      </c>
      <c r="I16" s="108">
        <f t="shared" si="4"/>
        <v>0</v>
      </c>
      <c r="J16" s="25" t="b">
        <f>AND($D$1=1,$D$7=2,'Impianti Titolo II'!$C$3&lt;=1000,'Impianti Titolo II'!$C$3&gt;200)</f>
        <v>0</v>
      </c>
      <c r="K16" s="31" t="s">
        <v>10</v>
      </c>
      <c r="L16" s="7">
        <v>135</v>
      </c>
      <c r="M16" s="29">
        <f t="shared" si="5"/>
        <v>53</v>
      </c>
      <c r="N16" s="7">
        <f t="shared" si="6"/>
        <v>0</v>
      </c>
      <c r="O16" s="7">
        <f t="shared" si="7"/>
        <v>0</v>
      </c>
      <c r="P16" s="4" t="b">
        <f>AND($K$1=1,$L$1=4,$M$1&gt;20)</f>
        <v>0</v>
      </c>
      <c r="Q16" s="108">
        <v>40</v>
      </c>
      <c r="R16" s="4">
        <f t="shared" si="1"/>
        <v>0</v>
      </c>
    </row>
    <row r="17" spans="4:21">
      <c r="D17" s="25" t="b">
        <f>AND($D$1=1,$D$7=1,'Impianti Titolo II'!$C$3&lt;=5000,'Impianti Titolo II'!$C$3&gt;1000)</f>
        <v>0</v>
      </c>
      <c r="E17" s="31" t="s">
        <v>11</v>
      </c>
      <c r="F17" s="7">
        <v>126</v>
      </c>
      <c r="G17" s="29">
        <f t="shared" si="2"/>
        <v>44</v>
      </c>
      <c r="H17" s="108">
        <f t="shared" si="3"/>
        <v>0</v>
      </c>
      <c r="I17" s="108">
        <f t="shared" si="4"/>
        <v>0</v>
      </c>
      <c r="J17" s="25" t="b">
        <f>AND($D$1=1,$D$7=2,'Impianti Titolo II'!$C$3&lt;=5000,'Impianti Titolo II'!$C$3&gt;1000)</f>
        <v>0</v>
      </c>
      <c r="K17" s="31" t="s">
        <v>11</v>
      </c>
      <c r="L17" s="7">
        <v>120</v>
      </c>
      <c r="M17" s="29">
        <f t="shared" si="5"/>
        <v>38</v>
      </c>
      <c r="N17" s="7">
        <f t="shared" si="6"/>
        <v>0</v>
      </c>
      <c r="O17" s="7">
        <f t="shared" si="7"/>
        <v>0</v>
      </c>
      <c r="P17" s="4" t="b">
        <f>AND($K$1=2,$L$1=1,$M$1&gt;20)</f>
        <v>0</v>
      </c>
      <c r="Q17" s="108">
        <v>0</v>
      </c>
      <c r="R17" s="4">
        <f t="shared" si="1"/>
        <v>0</v>
      </c>
    </row>
    <row r="18" spans="4:21" ht="15.75" thickBot="1">
      <c r="D18" s="32" t="b">
        <f>AND($D$1=1,$D$7=1,'Impianti Titolo II'!$C$3&gt;=5000)</f>
        <v>0</v>
      </c>
      <c r="E18" s="41" t="s">
        <v>12</v>
      </c>
      <c r="F18" s="42">
        <v>119</v>
      </c>
      <c r="G18" s="43">
        <f t="shared" si="2"/>
        <v>37</v>
      </c>
      <c r="H18" s="108">
        <f t="shared" si="3"/>
        <v>0</v>
      </c>
      <c r="I18" s="108">
        <f t="shared" si="4"/>
        <v>0</v>
      </c>
      <c r="J18" s="32" t="b">
        <f>AND($D$1=1,$D$7=2,'Impianti Titolo II'!$C$3&gt;=5000)</f>
        <v>0</v>
      </c>
      <c r="K18" s="41" t="s">
        <v>12</v>
      </c>
      <c r="L18" s="42">
        <v>113</v>
      </c>
      <c r="M18" s="43">
        <f t="shared" si="5"/>
        <v>31</v>
      </c>
      <c r="N18" s="7">
        <f t="shared" si="6"/>
        <v>0</v>
      </c>
      <c r="O18" s="7">
        <f t="shared" si="7"/>
        <v>0</v>
      </c>
      <c r="P18" s="4" t="b">
        <f>AND($K$1=2,$L$1=2,$M$1&gt;20)</f>
        <v>0</v>
      </c>
      <c r="Q18" s="108">
        <v>10</v>
      </c>
      <c r="R18" s="4">
        <f t="shared" si="1"/>
        <v>0</v>
      </c>
    </row>
    <row r="19" spans="4:21" ht="15.75" thickBot="1">
      <c r="F19" s="108"/>
      <c r="G19" s="108"/>
      <c r="H19" s="50">
        <f>SUM(H13:H18)</f>
        <v>175</v>
      </c>
      <c r="I19" s="51">
        <f>SUM(I13:I18)</f>
        <v>93</v>
      </c>
      <c r="K19" s="108"/>
      <c r="L19" s="108"/>
      <c r="M19" s="108"/>
      <c r="N19" s="50">
        <f>SUM(N13:N18)</f>
        <v>0</v>
      </c>
      <c r="O19" s="50">
        <f>SUM(O13:O18)</f>
        <v>0</v>
      </c>
      <c r="P19" s="4" t="b">
        <f>AND($K$1=2,$L$1=3,$M$1&gt;20)</f>
        <v>0</v>
      </c>
      <c r="Q19" s="108">
        <v>10</v>
      </c>
      <c r="R19" s="4">
        <f t="shared" si="1"/>
        <v>0</v>
      </c>
    </row>
    <row r="20" spans="4:21" ht="24" customHeight="1">
      <c r="F20" s="108"/>
      <c r="G20" s="108"/>
      <c r="H20" s="7"/>
      <c r="I20" s="7"/>
      <c r="K20" s="108"/>
      <c r="L20" s="108"/>
      <c r="M20" s="108"/>
      <c r="N20" s="7"/>
      <c r="O20" s="7"/>
      <c r="P20" s="4" t="b">
        <f>AND($K$1=2,$L$1=4,$M$1&gt;20)</f>
        <v>0</v>
      </c>
      <c r="Q20" s="123">
        <v>20</v>
      </c>
      <c r="R20" s="4">
        <f t="shared" ref="R20" si="8">IF(P20=TRUE,Q20,0)</f>
        <v>0</v>
      </c>
    </row>
    <row r="21" spans="4:21" ht="12.75" customHeight="1" thickBot="1">
      <c r="F21" s="130"/>
      <c r="G21" s="130"/>
      <c r="H21" s="108"/>
      <c r="I21" s="108"/>
      <c r="K21" s="108"/>
      <c r="L21" s="130"/>
      <c r="M21" s="130"/>
      <c r="N21" s="108"/>
      <c r="O21" s="108"/>
      <c r="P21" s="55" t="b">
        <f>AND($K$1=3,$L$1=1,$M$1&gt;20)</f>
        <v>0</v>
      </c>
      <c r="Q21" s="58">
        <v>0</v>
      </c>
      <c r="R21" s="55">
        <f t="shared" ref="R21:R24" si="9">IF(P21=TRUE,Q21,0)</f>
        <v>0</v>
      </c>
    </row>
    <row r="22" spans="4:21" s="55" customFormat="1" ht="22.5" customHeight="1">
      <c r="D22" s="110"/>
      <c r="E22" s="111"/>
      <c r="F22" s="112" t="s">
        <v>2</v>
      </c>
      <c r="G22" s="113" t="s">
        <v>3</v>
      </c>
      <c r="H22" s="58"/>
      <c r="I22" s="58"/>
      <c r="J22" s="110"/>
      <c r="K22" s="111"/>
      <c r="L22" s="112" t="s">
        <v>2</v>
      </c>
      <c r="M22" s="113" t="s">
        <v>3</v>
      </c>
      <c r="N22" s="56"/>
      <c r="O22" s="56"/>
      <c r="P22" s="13" t="b">
        <f>AND($K$1=3,$L$1=2,$M$1&gt;20)</f>
        <v>0</v>
      </c>
      <c r="Q22" s="63">
        <v>5</v>
      </c>
      <c r="R22" s="13">
        <f t="shared" si="9"/>
        <v>0</v>
      </c>
    </row>
    <row r="23" spans="4:21" s="60" customFormat="1" ht="15.75">
      <c r="D23" s="25" t="b">
        <f>AND($D$1=2,$D$7=1,'Impianti Titolo II'!$C$3&lt;=3,'Impianti Titolo II'!$C$3&gt;=1)</f>
        <v>0</v>
      </c>
      <c r="E23" s="31" t="s">
        <v>7</v>
      </c>
      <c r="F23" s="61">
        <v>182</v>
      </c>
      <c r="G23" s="62">
        <f t="shared" ref="G23:G28" si="10">F23-82</f>
        <v>100</v>
      </c>
      <c r="H23" s="108">
        <f t="shared" ref="H23:H28" si="11">IF(D23=TRUE,F23,0)</f>
        <v>0</v>
      </c>
      <c r="I23" s="108">
        <f t="shared" ref="I23:I28" si="12">IF(D23=TRUE,G23,0)</f>
        <v>0</v>
      </c>
      <c r="J23" s="25" t="b">
        <f>AND($D$1=2,$D$7=2,'Impianti Titolo II'!$C$3&lt;=3,'Impianti Titolo II'!$C$3&gt;=1)</f>
        <v>0</v>
      </c>
      <c r="K23" s="31" t="s">
        <v>7</v>
      </c>
      <c r="L23" s="61">
        <v>176</v>
      </c>
      <c r="M23" s="62">
        <f t="shared" ref="M23:M28" si="13">L23-82</f>
        <v>94</v>
      </c>
      <c r="N23" s="7">
        <f>IF(J23=TRUE,L23,0)</f>
        <v>0</v>
      </c>
      <c r="O23" s="7">
        <f>IF(J23=TRUE,M23,0)</f>
        <v>0</v>
      </c>
      <c r="P23" s="13" t="b">
        <f>AND($K$1=3,$L$1=3,$M$1&gt;20)</f>
        <v>0</v>
      </c>
      <c r="Q23" s="63">
        <v>5</v>
      </c>
      <c r="R23" s="13">
        <f t="shared" si="9"/>
        <v>0</v>
      </c>
    </row>
    <row r="24" spans="4:21" s="60" customFormat="1" ht="15.75">
      <c r="D24" s="25" t="b">
        <f>AND($D$1=2,$D$7=1,'Impianti Titolo II'!$C$3&lt;=20,'Impianti Titolo II'!$C$3&gt;3)</f>
        <v>0</v>
      </c>
      <c r="E24" s="31" t="s">
        <v>8</v>
      </c>
      <c r="F24" s="61">
        <v>171</v>
      </c>
      <c r="G24" s="62">
        <f t="shared" si="10"/>
        <v>89</v>
      </c>
      <c r="H24" s="108">
        <f t="shared" si="11"/>
        <v>0</v>
      </c>
      <c r="I24" s="108">
        <f t="shared" si="12"/>
        <v>0</v>
      </c>
      <c r="J24" s="25" t="b">
        <f>AND($D$1=2,$D$7=2,'Impianti Titolo II'!$C$3&lt;=20,'Impianti Titolo II'!$C$3&gt;3)</f>
        <v>0</v>
      </c>
      <c r="K24" s="31" t="s">
        <v>8</v>
      </c>
      <c r="L24" s="61">
        <v>165</v>
      </c>
      <c r="M24" s="62">
        <f t="shared" si="13"/>
        <v>83</v>
      </c>
      <c r="N24" s="7">
        <f t="shared" ref="N24:N28" si="14">IF(J24=TRUE,L24,0)</f>
        <v>0</v>
      </c>
      <c r="O24" s="7">
        <f t="shared" ref="O24:O28" si="15">IF(J24=TRUE,M24,0)</f>
        <v>0</v>
      </c>
      <c r="P24" s="13" t="b">
        <f>AND($K$1=3,$L$1=4,$M$1&gt;20)</f>
        <v>1</v>
      </c>
      <c r="Q24" s="63">
        <v>10</v>
      </c>
      <c r="R24" s="13">
        <f t="shared" si="9"/>
        <v>10</v>
      </c>
    </row>
    <row r="25" spans="4:21" s="60" customFormat="1" ht="15.75">
      <c r="D25" s="25" t="b">
        <f>AND($D$1=2,$D$7=1,'Impianti Titolo II'!$C$3&lt;=200,'Impianti Titolo II'!$C$3&gt;20)</f>
        <v>0</v>
      </c>
      <c r="E25" s="31" t="s">
        <v>9</v>
      </c>
      <c r="F25" s="61">
        <v>157</v>
      </c>
      <c r="G25" s="62">
        <f t="shared" si="10"/>
        <v>75</v>
      </c>
      <c r="H25" s="108">
        <f t="shared" si="11"/>
        <v>0</v>
      </c>
      <c r="I25" s="108">
        <f t="shared" si="12"/>
        <v>0</v>
      </c>
      <c r="J25" s="25" t="b">
        <f>AND($D$1=2,$D$7=2,'Impianti Titolo II'!$C$3&lt;=200,'Impianti Titolo II'!$C$3&gt;20)</f>
        <v>0</v>
      </c>
      <c r="K25" s="31" t="s">
        <v>9</v>
      </c>
      <c r="L25" s="61">
        <v>151</v>
      </c>
      <c r="M25" s="62">
        <f t="shared" si="13"/>
        <v>69</v>
      </c>
      <c r="N25" s="7">
        <f t="shared" si="14"/>
        <v>0</v>
      </c>
      <c r="O25" s="7">
        <f t="shared" si="15"/>
        <v>0</v>
      </c>
      <c r="P25" s="13"/>
      <c r="Q25" s="63"/>
      <c r="R25" s="13"/>
    </row>
    <row r="26" spans="4:21" s="55" customFormat="1" ht="22.5" customHeight="1">
      <c r="D26" s="25" t="b">
        <f>AND($D$1=2,$D$7=1,'Impianti Titolo II'!$C$3&lt;=1000,'Impianti Titolo II'!$C$3&gt;200)</f>
        <v>0</v>
      </c>
      <c r="E26" s="31" t="s">
        <v>10</v>
      </c>
      <c r="F26" s="56">
        <v>130</v>
      </c>
      <c r="G26" s="57">
        <f t="shared" si="10"/>
        <v>48</v>
      </c>
      <c r="H26" s="108">
        <f t="shared" si="11"/>
        <v>0</v>
      </c>
      <c r="I26" s="108">
        <f t="shared" si="12"/>
        <v>0</v>
      </c>
      <c r="J26" s="25" t="b">
        <f>AND($D$1=2,$D$7=2,'Impianti Titolo II'!$C$3&lt;=1000,'Impianti Titolo II'!$C$3&gt;200)</f>
        <v>0</v>
      </c>
      <c r="K26" s="31" t="s">
        <v>10</v>
      </c>
      <c r="L26" s="56">
        <v>124</v>
      </c>
      <c r="M26" s="57">
        <f t="shared" si="13"/>
        <v>42</v>
      </c>
      <c r="N26" s="7">
        <f t="shared" si="14"/>
        <v>0</v>
      </c>
      <c r="O26" s="7">
        <f t="shared" si="15"/>
        <v>0</v>
      </c>
      <c r="Q26" s="58"/>
    </row>
    <row r="27" spans="4:21" s="60" customFormat="1" ht="15.75">
      <c r="D27" s="25" t="b">
        <f>AND($D$1=2,$D$7=1,'Impianti Titolo II'!$C$3&lt;=5000,'Impianti Titolo II'!$C$3&gt;1000)</f>
        <v>0</v>
      </c>
      <c r="E27" s="31" t="s">
        <v>11</v>
      </c>
      <c r="F27" s="61">
        <v>118</v>
      </c>
      <c r="G27" s="62">
        <f t="shared" si="10"/>
        <v>36</v>
      </c>
      <c r="H27" s="108">
        <f t="shared" si="11"/>
        <v>0</v>
      </c>
      <c r="I27" s="108">
        <f t="shared" si="12"/>
        <v>0</v>
      </c>
      <c r="J27" s="25" t="b">
        <f>AND($D$1=2,$D$7=2,'Impianti Titolo II'!$C$3&lt;=5000,'Impianti Titolo II'!$C$3&gt;1000)</f>
        <v>0</v>
      </c>
      <c r="K27" s="31" t="s">
        <v>11</v>
      </c>
      <c r="L27" s="61">
        <v>113</v>
      </c>
      <c r="M27" s="62">
        <f t="shared" si="13"/>
        <v>31</v>
      </c>
      <c r="N27" s="7">
        <f t="shared" si="14"/>
        <v>0</v>
      </c>
      <c r="O27" s="7">
        <f t="shared" si="15"/>
        <v>0</v>
      </c>
      <c r="Q27" s="63"/>
      <c r="R27" s="67">
        <f>SUM(R1:R26)</f>
        <v>10</v>
      </c>
    </row>
    <row r="28" spans="4:21" s="60" customFormat="1" ht="16.5" thickBot="1">
      <c r="D28" s="32" t="b">
        <f>AND($D$1=2,$D$7=1,'Impianti Titolo II'!$C$3&gt;=5000)</f>
        <v>0</v>
      </c>
      <c r="E28" s="41" t="s">
        <v>12</v>
      </c>
      <c r="F28" s="68">
        <v>112</v>
      </c>
      <c r="G28" s="69">
        <f t="shared" si="10"/>
        <v>30</v>
      </c>
      <c r="H28" s="108">
        <f t="shared" si="11"/>
        <v>0</v>
      </c>
      <c r="I28" s="108">
        <f t="shared" si="12"/>
        <v>0</v>
      </c>
      <c r="J28" s="32" t="b">
        <f>AND($D$1=2,$D$7=2,'Impianti Titolo II'!$C$3&gt;=5000)</f>
        <v>0</v>
      </c>
      <c r="K28" s="41" t="s">
        <v>12</v>
      </c>
      <c r="L28" s="68">
        <v>106</v>
      </c>
      <c r="M28" s="69">
        <f t="shared" si="13"/>
        <v>24</v>
      </c>
      <c r="N28" s="7">
        <f t="shared" si="14"/>
        <v>0</v>
      </c>
      <c r="O28" s="7">
        <f t="shared" si="15"/>
        <v>0</v>
      </c>
      <c r="Q28" s="63"/>
    </row>
    <row r="29" spans="4:21" s="60" customFormat="1" ht="16.5" thickBot="1">
      <c r="F29" s="63"/>
      <c r="G29" s="63"/>
      <c r="H29" s="70">
        <f>SUM(H23:H28)</f>
        <v>0</v>
      </c>
      <c r="I29" s="71">
        <f>SUM(I23:I28)</f>
        <v>0</v>
      </c>
      <c r="K29" s="63"/>
      <c r="L29" s="63"/>
      <c r="M29" s="63"/>
      <c r="N29" s="70">
        <f>SUM(N23:N28)</f>
        <v>0</v>
      </c>
      <c r="O29" s="70">
        <f>SUM(O23:O28)</f>
        <v>0</v>
      </c>
      <c r="Q29" s="63"/>
    </row>
    <row r="30" spans="4:21" s="60" customFormat="1" ht="15.75">
      <c r="Q30" s="72" t="s">
        <v>86</v>
      </c>
      <c r="S30" s="60">
        <f t="shared" ref="S30:S39" si="16">IF($R$41=T30,U30,0)</f>
        <v>0</v>
      </c>
      <c r="T30" s="60">
        <v>1</v>
      </c>
      <c r="U30" s="60">
        <v>10</v>
      </c>
    </row>
    <row r="31" spans="4:21" s="60" customFormat="1" ht="16.5" thickBot="1">
      <c r="Q31" s="72" t="s">
        <v>77</v>
      </c>
      <c r="S31" s="60">
        <f t="shared" si="16"/>
        <v>0</v>
      </c>
      <c r="T31" s="60">
        <v>2</v>
      </c>
      <c r="U31" s="60">
        <v>20</v>
      </c>
    </row>
    <row r="32" spans="4:21" s="60" customFormat="1" ht="15.75">
      <c r="D32" s="110"/>
      <c r="E32" s="111"/>
      <c r="F32" s="112" t="s">
        <v>2</v>
      </c>
      <c r="G32" s="113" t="s">
        <v>3</v>
      </c>
      <c r="H32" s="58"/>
      <c r="I32" s="58"/>
      <c r="J32" s="110"/>
      <c r="K32" s="111"/>
      <c r="L32" s="112" t="s">
        <v>2</v>
      </c>
      <c r="M32" s="113" t="s">
        <v>3</v>
      </c>
      <c r="N32" s="56"/>
      <c r="O32" s="56"/>
      <c r="Q32" s="72" t="s">
        <v>78</v>
      </c>
      <c r="S32" s="60">
        <f t="shared" si="16"/>
        <v>0</v>
      </c>
      <c r="T32" s="60">
        <v>3</v>
      </c>
      <c r="U32" s="60">
        <v>30</v>
      </c>
    </row>
    <row r="33" spans="4:21" s="60" customFormat="1" ht="15.75">
      <c r="D33" s="25" t="b">
        <f>AND($D$1=3,$D$7=1,'Impianti Titolo II'!$C$3&lt;=3,'Impianti Titolo II'!$C$3&gt;=1)</f>
        <v>0</v>
      </c>
      <c r="E33" s="31" t="s">
        <v>7</v>
      </c>
      <c r="F33" s="61">
        <v>157</v>
      </c>
      <c r="G33" s="62">
        <f t="shared" ref="G33:G38" si="17">F33-82</f>
        <v>75</v>
      </c>
      <c r="H33" s="108">
        <f t="shared" ref="H33:H38" si="18">IF(D33=TRUE,F33,0)</f>
        <v>0</v>
      </c>
      <c r="I33" s="108">
        <f t="shared" ref="I33:I38" si="19">IF(D33=TRUE,G33,0)</f>
        <v>0</v>
      </c>
      <c r="J33" s="25" t="b">
        <f>AND($D$1=3,$D$7=2,'Impianti Titolo II'!$C$3&lt;=3,'Impianti Titolo II'!$C$3&gt;=1)</f>
        <v>0</v>
      </c>
      <c r="K33" s="31" t="s">
        <v>7</v>
      </c>
      <c r="L33" s="61">
        <v>152</v>
      </c>
      <c r="M33" s="62">
        <f t="shared" ref="M33:M38" si="20">L33-82</f>
        <v>70</v>
      </c>
      <c r="N33" s="7">
        <f>IF(J33=TRUE,L33,0)</f>
        <v>0</v>
      </c>
      <c r="O33" s="7">
        <f>IF(J33=TRUE,M33,0)</f>
        <v>0</v>
      </c>
      <c r="Q33" s="72" t="s">
        <v>79</v>
      </c>
      <c r="S33" s="60">
        <f t="shared" si="16"/>
        <v>0</v>
      </c>
      <c r="T33" s="60">
        <v>4</v>
      </c>
      <c r="U33" s="60">
        <v>40</v>
      </c>
    </row>
    <row r="34" spans="4:21" s="60" customFormat="1" ht="15.75">
      <c r="D34" s="25" t="b">
        <f>AND($D$1=3,$D$7=1,'Impianti Titolo II'!$C$3&lt;=20,'Impianti Titolo II'!$C$3&gt;3)</f>
        <v>0</v>
      </c>
      <c r="E34" s="31" t="s">
        <v>8</v>
      </c>
      <c r="F34" s="61">
        <v>149</v>
      </c>
      <c r="G34" s="62">
        <f t="shared" si="17"/>
        <v>67</v>
      </c>
      <c r="H34" s="108">
        <f t="shared" si="18"/>
        <v>0</v>
      </c>
      <c r="I34" s="108">
        <f t="shared" si="19"/>
        <v>0</v>
      </c>
      <c r="J34" s="25" t="b">
        <f>AND($D$1=3,$D$7=2,'Impianti Titolo II'!$C$3&lt;=20,'Impianti Titolo II'!$C$3&gt;3)</f>
        <v>0</v>
      </c>
      <c r="K34" s="31" t="s">
        <v>8</v>
      </c>
      <c r="L34" s="61">
        <v>144</v>
      </c>
      <c r="M34" s="62">
        <f t="shared" si="20"/>
        <v>62</v>
      </c>
      <c r="N34" s="7">
        <f t="shared" ref="N34:N38" si="21">IF(J34=TRUE,L34,0)</f>
        <v>0</v>
      </c>
      <c r="O34" s="7">
        <f t="shared" ref="O34:O38" si="22">IF(J34=TRUE,M34,0)</f>
        <v>0</v>
      </c>
      <c r="Q34" s="72" t="s">
        <v>80</v>
      </c>
      <c r="S34" s="60">
        <f t="shared" si="16"/>
        <v>50</v>
      </c>
      <c r="T34" s="60">
        <v>5</v>
      </c>
      <c r="U34" s="60">
        <v>50</v>
      </c>
    </row>
    <row r="35" spans="4:21" ht="15.75">
      <c r="D35" s="25" t="b">
        <f>AND($D$1=3,$D$7=1,'Impianti Titolo II'!$C$3&lt;=200,'Impianti Titolo II'!$C$3&gt;20)</f>
        <v>0</v>
      </c>
      <c r="E35" s="31" t="s">
        <v>9</v>
      </c>
      <c r="F35" s="61">
        <v>141</v>
      </c>
      <c r="G35" s="62">
        <f t="shared" si="17"/>
        <v>59</v>
      </c>
      <c r="H35" s="108">
        <f t="shared" si="18"/>
        <v>0</v>
      </c>
      <c r="I35" s="108">
        <f t="shared" si="19"/>
        <v>0</v>
      </c>
      <c r="J35" s="25" t="b">
        <f>AND($D$1=3,$D$7=2,'Impianti Titolo II'!$C$3&lt;=200,'Impianti Titolo II'!$C$3&gt;20)</f>
        <v>0</v>
      </c>
      <c r="K35" s="31" t="s">
        <v>9</v>
      </c>
      <c r="L35" s="61">
        <v>136</v>
      </c>
      <c r="M35" s="62">
        <f t="shared" si="20"/>
        <v>54</v>
      </c>
      <c r="N35" s="7">
        <f t="shared" si="21"/>
        <v>0</v>
      </c>
      <c r="O35" s="7">
        <f t="shared" si="22"/>
        <v>0</v>
      </c>
      <c r="Q35" s="72" t="s">
        <v>81</v>
      </c>
      <c r="S35" s="60">
        <f t="shared" si="16"/>
        <v>0</v>
      </c>
      <c r="T35" s="60">
        <v>6</v>
      </c>
      <c r="U35" s="60">
        <v>60</v>
      </c>
    </row>
    <row r="36" spans="4:21" ht="15.75">
      <c r="D36" s="25" t="b">
        <f>AND($D$1=3,$D$7=1,'Impianti Titolo II'!$C$3&lt;=1000,'Impianti Titolo II'!$C$3&gt;200)</f>
        <v>0</v>
      </c>
      <c r="E36" s="31" t="s">
        <v>10</v>
      </c>
      <c r="F36" s="56">
        <v>118</v>
      </c>
      <c r="G36" s="57">
        <f t="shared" si="17"/>
        <v>36</v>
      </c>
      <c r="H36" s="108">
        <f t="shared" si="18"/>
        <v>0</v>
      </c>
      <c r="I36" s="108">
        <f t="shared" si="19"/>
        <v>0</v>
      </c>
      <c r="J36" s="25" t="b">
        <f>AND($D$1=3,$D$7=2,'Impianti Titolo II'!$C$3&lt;=1000,'Impianti Titolo II'!$C$3&gt;200)</f>
        <v>0</v>
      </c>
      <c r="K36" s="31" t="s">
        <v>10</v>
      </c>
      <c r="L36" s="56">
        <v>113</v>
      </c>
      <c r="M36" s="57">
        <f t="shared" si="20"/>
        <v>31</v>
      </c>
      <c r="N36" s="7">
        <f t="shared" si="21"/>
        <v>0</v>
      </c>
      <c r="O36" s="7">
        <f t="shared" si="22"/>
        <v>0</v>
      </c>
      <c r="Q36" s="72" t="s">
        <v>82</v>
      </c>
      <c r="S36" s="60">
        <f t="shared" si="16"/>
        <v>0</v>
      </c>
      <c r="T36" s="60">
        <v>7</v>
      </c>
      <c r="U36" s="60">
        <v>70</v>
      </c>
    </row>
    <row r="37" spans="4:21" ht="15.75">
      <c r="D37" s="25" t="b">
        <f>AND($D$1=3,$D$7=1,'Impianti Titolo II'!$C$3&lt;=5000,'Impianti Titolo II'!$C$3&gt;1000)</f>
        <v>0</v>
      </c>
      <c r="E37" s="31" t="s">
        <v>11</v>
      </c>
      <c r="F37" s="61">
        <v>110</v>
      </c>
      <c r="G37" s="62">
        <f t="shared" si="17"/>
        <v>28</v>
      </c>
      <c r="H37" s="108">
        <f t="shared" si="18"/>
        <v>0</v>
      </c>
      <c r="I37" s="108">
        <f t="shared" si="19"/>
        <v>0</v>
      </c>
      <c r="J37" s="25" t="b">
        <f>AND($D$1=3,$D$7=2,'Impianti Titolo II'!$C$3&lt;=5000,'Impianti Titolo II'!$C$3&gt;1000)</f>
        <v>0</v>
      </c>
      <c r="K37" s="31" t="s">
        <v>11</v>
      </c>
      <c r="L37" s="61">
        <v>106</v>
      </c>
      <c r="M37" s="62">
        <f t="shared" si="20"/>
        <v>24</v>
      </c>
      <c r="N37" s="7">
        <f t="shared" si="21"/>
        <v>0</v>
      </c>
      <c r="O37" s="7">
        <f t="shared" si="22"/>
        <v>0</v>
      </c>
      <c r="Q37" s="72" t="s">
        <v>83</v>
      </c>
      <c r="S37" s="60">
        <f t="shared" si="16"/>
        <v>0</v>
      </c>
      <c r="T37" s="60">
        <v>8</v>
      </c>
      <c r="U37" s="60">
        <v>80</v>
      </c>
    </row>
    <row r="38" spans="4:21" ht="16.5" thickBot="1">
      <c r="D38" s="32" t="b">
        <f>AND($D$1=3,$D$7=1,'Impianti Titolo II'!$C$3&gt;=5000)</f>
        <v>0</v>
      </c>
      <c r="E38" s="41" t="s">
        <v>12</v>
      </c>
      <c r="F38" s="68">
        <v>104</v>
      </c>
      <c r="G38" s="69">
        <f t="shared" si="17"/>
        <v>22</v>
      </c>
      <c r="H38" s="108">
        <f t="shared" si="18"/>
        <v>0</v>
      </c>
      <c r="I38" s="108">
        <f t="shared" si="19"/>
        <v>0</v>
      </c>
      <c r="J38" s="32" t="b">
        <f>AND($D$1=3,$D$7=2,'Impianti Titolo II'!$C$3&gt;=5000)</f>
        <v>0</v>
      </c>
      <c r="K38" s="41" t="s">
        <v>12</v>
      </c>
      <c r="L38" s="68">
        <v>99</v>
      </c>
      <c r="M38" s="69">
        <f t="shared" si="20"/>
        <v>17</v>
      </c>
      <c r="N38" s="7">
        <f t="shared" si="21"/>
        <v>0</v>
      </c>
      <c r="O38" s="7">
        <f t="shared" si="22"/>
        <v>0</v>
      </c>
      <c r="Q38" s="72" t="s">
        <v>84</v>
      </c>
      <c r="S38" s="60">
        <f t="shared" si="16"/>
        <v>0</v>
      </c>
      <c r="T38" s="60">
        <v>9</v>
      </c>
      <c r="U38" s="60">
        <v>90</v>
      </c>
    </row>
    <row r="39" spans="4:21" ht="16.5" thickBot="1">
      <c r="D39" s="60"/>
      <c r="E39" s="60"/>
      <c r="F39" s="63"/>
      <c r="G39" s="63"/>
      <c r="H39" s="70">
        <f>SUM(H33:H38)</f>
        <v>0</v>
      </c>
      <c r="I39" s="71">
        <f>SUM(I33:I38)</f>
        <v>0</v>
      </c>
      <c r="J39" s="60"/>
      <c r="K39" s="63"/>
      <c r="L39" s="63"/>
      <c r="M39" s="63"/>
      <c r="N39" s="70">
        <f>SUM(N33:N38)</f>
        <v>0</v>
      </c>
      <c r="O39" s="70">
        <f>SUM(O33:O38)</f>
        <v>0</v>
      </c>
      <c r="Q39" s="72" t="s">
        <v>85</v>
      </c>
      <c r="S39" s="60">
        <f t="shared" si="16"/>
        <v>0</v>
      </c>
      <c r="T39" s="60">
        <v>10</v>
      </c>
      <c r="U39" s="60">
        <v>100</v>
      </c>
    </row>
    <row r="40" spans="4:21" ht="15.75">
      <c r="D40" s="4"/>
      <c r="E40" s="4"/>
      <c r="F40" s="7"/>
      <c r="G40" s="7"/>
      <c r="H40" s="7"/>
      <c r="I40" s="7"/>
      <c r="J40" s="4"/>
      <c r="K40" s="7"/>
      <c r="L40" s="7"/>
      <c r="M40" s="7"/>
      <c r="N40" s="7"/>
      <c r="O40" s="7"/>
      <c r="Q40" s="72"/>
      <c r="S40" s="60"/>
    </row>
    <row r="41" spans="4:21" ht="15.75">
      <c r="Q41" s="72"/>
      <c r="R41" s="8">
        <v>5</v>
      </c>
      <c r="S41" s="114">
        <f>SUM(S30:S39)</f>
        <v>50</v>
      </c>
    </row>
    <row r="42" spans="4:21" ht="15.75">
      <c r="Q42" s="72"/>
      <c r="S42" s="60"/>
    </row>
    <row r="43" spans="4:21" ht="16.5" thickBot="1">
      <c r="Q43" s="72"/>
      <c r="S43" s="60"/>
    </row>
    <row r="44" spans="4:21" ht="15.75">
      <c r="D44" s="110"/>
      <c r="E44" s="111"/>
      <c r="F44" s="112" t="s">
        <v>2</v>
      </c>
      <c r="G44" s="113" t="s">
        <v>3</v>
      </c>
      <c r="H44" s="58"/>
      <c r="I44" s="58"/>
      <c r="J44" s="110"/>
      <c r="K44" s="111"/>
      <c r="L44" s="112" t="s">
        <v>2</v>
      </c>
      <c r="M44" s="113" t="s">
        <v>3</v>
      </c>
      <c r="N44" s="56"/>
      <c r="O44" s="56"/>
      <c r="P44" s="108"/>
      <c r="Q44" s="72"/>
      <c r="S44" s="60"/>
    </row>
    <row r="45" spans="4:21" ht="15.75">
      <c r="D45" s="25" t="b">
        <f>AND($D$1=4,$D$7=1,'Impianti Titolo II'!$C$3&lt;=3,'Impianti Titolo II'!$C$3&gt;=1)</f>
        <v>0</v>
      </c>
      <c r="E45" s="31" t="s">
        <v>7</v>
      </c>
      <c r="F45" s="61">
        <v>144</v>
      </c>
      <c r="G45" s="62">
        <f t="shared" ref="G45:G50" si="23">F45-82</f>
        <v>62</v>
      </c>
      <c r="H45" s="108">
        <f t="shared" ref="H45:H50" si="24">IF(D45=TRUE,F45,0)</f>
        <v>0</v>
      </c>
      <c r="I45" s="108">
        <f t="shared" ref="I45:I50" si="25">IF(D45=TRUE,G45,0)</f>
        <v>0</v>
      </c>
      <c r="J45" s="25" t="b">
        <f>AND($D$1=4,$D$7=2,'Impianti Titolo II'!$C$3&lt;=3,'Impianti Titolo II'!$C$3&gt;=1)</f>
        <v>0</v>
      </c>
      <c r="K45" s="31" t="s">
        <v>7</v>
      </c>
      <c r="L45" s="61">
        <v>140</v>
      </c>
      <c r="M45" s="62">
        <f t="shared" ref="M45:M50" si="26">L45-82</f>
        <v>58</v>
      </c>
      <c r="N45" s="7">
        <f>IF(J45=TRUE,L45,0)</f>
        <v>0</v>
      </c>
      <c r="O45" s="7">
        <f>IF(J45=TRUE,M45,0)</f>
        <v>0</v>
      </c>
      <c r="P45" s="108"/>
      <c r="Q45" s="72"/>
      <c r="S45" s="60"/>
    </row>
    <row r="46" spans="4:21" ht="15.75">
      <c r="D46" s="25" t="b">
        <f>AND($D$1=4,$D$7=1,'Impianti Titolo II'!$C$3&lt;=20,'Impianti Titolo II'!$C$3&gt;3)</f>
        <v>0</v>
      </c>
      <c r="E46" s="31" t="s">
        <v>8</v>
      </c>
      <c r="F46" s="61">
        <v>137</v>
      </c>
      <c r="G46" s="62">
        <f t="shared" si="23"/>
        <v>55</v>
      </c>
      <c r="H46" s="108">
        <f t="shared" si="24"/>
        <v>0</v>
      </c>
      <c r="I46" s="108">
        <f t="shared" si="25"/>
        <v>0</v>
      </c>
      <c r="J46" s="25" t="b">
        <f>AND($D$1=4,$D$7=2,'Impianti Titolo II'!$C$3&lt;=20,'Impianti Titolo II'!$C$3&gt;3)</f>
        <v>0</v>
      </c>
      <c r="K46" s="31" t="s">
        <v>8</v>
      </c>
      <c r="L46" s="61">
        <v>133</v>
      </c>
      <c r="M46" s="62">
        <f t="shared" si="26"/>
        <v>51</v>
      </c>
      <c r="N46" s="7">
        <f t="shared" ref="N46:N50" si="27">IF(J46=TRUE,L46,0)</f>
        <v>0</v>
      </c>
      <c r="O46" s="7">
        <f t="shared" ref="O46:O50" si="28">IF(J46=TRUE,M46,0)</f>
        <v>0</v>
      </c>
      <c r="Q46" s="72" t="s">
        <v>29</v>
      </c>
      <c r="S46" s="60"/>
    </row>
    <row r="47" spans="4:21" ht="15.75">
      <c r="D47" s="25" t="b">
        <f>AND($D$1=4,$D$7=1,'Impianti Titolo II'!$C$3&lt;=200,'Impianti Titolo II'!$C$3&gt;20)</f>
        <v>0</v>
      </c>
      <c r="E47" s="31" t="s">
        <v>9</v>
      </c>
      <c r="F47" s="61">
        <v>131</v>
      </c>
      <c r="G47" s="62">
        <f t="shared" si="23"/>
        <v>49</v>
      </c>
      <c r="H47" s="108">
        <f t="shared" si="24"/>
        <v>0</v>
      </c>
      <c r="I47" s="108">
        <f t="shared" si="25"/>
        <v>0</v>
      </c>
      <c r="J47" s="25" t="b">
        <f>AND($D$1=4,$D$7=2,'Impianti Titolo II'!$C$3&lt;=200,'Impianti Titolo II'!$C$3&gt;20)</f>
        <v>0</v>
      </c>
      <c r="K47" s="31" t="s">
        <v>9</v>
      </c>
      <c r="L47" s="61">
        <v>126</v>
      </c>
      <c r="M47" s="62">
        <f t="shared" si="26"/>
        <v>44</v>
      </c>
      <c r="N47" s="7">
        <f t="shared" si="27"/>
        <v>0</v>
      </c>
      <c r="O47" s="7">
        <f t="shared" si="28"/>
        <v>0</v>
      </c>
      <c r="Q47" s="72" t="s">
        <v>89</v>
      </c>
      <c r="S47" s="60"/>
    </row>
    <row r="48" spans="4:21" ht="15.75">
      <c r="D48" s="25" t="b">
        <f>AND($D$1=4,$D$7=1,'Impianti Titolo II'!$C$3&lt;=1000,'Impianti Titolo II'!$C$3&gt;200)</f>
        <v>0</v>
      </c>
      <c r="E48" s="31" t="s">
        <v>10</v>
      </c>
      <c r="F48" s="56">
        <v>111</v>
      </c>
      <c r="G48" s="57">
        <f t="shared" si="23"/>
        <v>29</v>
      </c>
      <c r="H48" s="108">
        <f t="shared" si="24"/>
        <v>0</v>
      </c>
      <c r="I48" s="108">
        <f t="shared" si="25"/>
        <v>0</v>
      </c>
      <c r="J48" s="25" t="b">
        <f>AND($D$1=4,$D$7=2,'Impianti Titolo II'!$C$3&lt;=1000,'Impianti Titolo II'!$C$3&gt;200)</f>
        <v>0</v>
      </c>
      <c r="K48" s="31" t="s">
        <v>10</v>
      </c>
      <c r="L48" s="56">
        <v>107</v>
      </c>
      <c r="M48" s="57">
        <f t="shared" si="26"/>
        <v>25</v>
      </c>
      <c r="N48" s="7">
        <f t="shared" si="27"/>
        <v>0</v>
      </c>
      <c r="O48" s="7">
        <f t="shared" si="28"/>
        <v>0</v>
      </c>
      <c r="Q48" s="72"/>
      <c r="S48" s="60"/>
    </row>
    <row r="49" spans="4:19" ht="15.75">
      <c r="D49" s="25" t="b">
        <f>AND($D$1=4,$D$7=1,'Impianti Titolo II'!$C$3&lt;=5000,'Impianti Titolo II'!$C$3&gt;1000)</f>
        <v>0</v>
      </c>
      <c r="E49" s="31" t="s">
        <v>11</v>
      </c>
      <c r="F49" s="61">
        <v>105</v>
      </c>
      <c r="G49" s="62">
        <f t="shared" si="23"/>
        <v>23</v>
      </c>
      <c r="H49" s="108">
        <f t="shared" si="24"/>
        <v>0</v>
      </c>
      <c r="I49" s="108">
        <f t="shared" si="25"/>
        <v>0</v>
      </c>
      <c r="J49" s="25" t="b">
        <f>AND($D$1=4,$D$7=2,'Impianti Titolo II'!$C$3&lt;=5000,'Impianti Titolo II'!$C$3&gt;1000)</f>
        <v>0</v>
      </c>
      <c r="K49" s="31" t="s">
        <v>11</v>
      </c>
      <c r="L49" s="61">
        <v>101</v>
      </c>
      <c r="M49" s="62">
        <f t="shared" si="26"/>
        <v>19</v>
      </c>
      <c r="N49" s="7">
        <f t="shared" si="27"/>
        <v>0</v>
      </c>
      <c r="O49" s="7">
        <f t="shared" si="28"/>
        <v>0</v>
      </c>
      <c r="Q49" s="72">
        <v>1</v>
      </c>
      <c r="S49" s="60"/>
    </row>
    <row r="50" spans="4:19" ht="16.5" thickBot="1">
      <c r="D50" s="32" t="b">
        <f>AND($D$1=4,$D$7=1,'Impianti Titolo II'!$C$3&gt;=5000)</f>
        <v>0</v>
      </c>
      <c r="E50" s="41" t="s">
        <v>12</v>
      </c>
      <c r="F50" s="68">
        <v>99</v>
      </c>
      <c r="G50" s="69">
        <f t="shared" si="23"/>
        <v>17</v>
      </c>
      <c r="H50" s="108">
        <f t="shared" si="24"/>
        <v>0</v>
      </c>
      <c r="I50" s="108">
        <f t="shared" si="25"/>
        <v>0</v>
      </c>
      <c r="J50" s="32" t="b">
        <f>AND($D$1=4,$D$7=2,'Impianti Titolo II'!$C$3&gt;=5000)</f>
        <v>0</v>
      </c>
      <c r="K50" s="41" t="s">
        <v>12</v>
      </c>
      <c r="L50" s="68">
        <v>95</v>
      </c>
      <c r="M50" s="69">
        <f t="shared" si="26"/>
        <v>13</v>
      </c>
      <c r="N50" s="7">
        <f t="shared" si="27"/>
        <v>0</v>
      </c>
      <c r="O50" s="7">
        <f t="shared" si="28"/>
        <v>0</v>
      </c>
    </row>
    <row r="51" spans="4:19" ht="16.5" thickBot="1">
      <c r="D51" s="60"/>
      <c r="E51" s="60"/>
      <c r="F51" s="63"/>
      <c r="G51" s="63"/>
      <c r="H51" s="70">
        <f>SUM(H45:H50)</f>
        <v>0</v>
      </c>
      <c r="I51" s="71">
        <f>SUM(I45:I50)</f>
        <v>0</v>
      </c>
      <c r="J51" s="60"/>
      <c r="K51" s="63"/>
      <c r="L51" s="63"/>
      <c r="M51" s="63"/>
      <c r="N51" s="70">
        <f>SUM(N45:N50)</f>
        <v>0</v>
      </c>
      <c r="O51" s="70">
        <f>SUM(O45:O50)</f>
        <v>0</v>
      </c>
    </row>
    <row r="52" spans="4:19">
      <c r="D52" s="4"/>
      <c r="E52" s="31"/>
      <c r="F52" s="7"/>
      <c r="G52" s="7"/>
      <c r="H52" s="7"/>
      <c r="I52" s="7"/>
      <c r="J52" s="4"/>
      <c r="K52" s="31"/>
      <c r="L52" s="7"/>
      <c r="M52" s="7"/>
      <c r="N52" s="7"/>
      <c r="O52" s="7"/>
    </row>
    <row r="53" spans="4:19">
      <c r="D53" s="4"/>
      <c r="E53" s="31"/>
      <c r="F53" s="7"/>
      <c r="G53" s="7"/>
      <c r="H53" s="7"/>
      <c r="I53" s="7"/>
      <c r="J53" s="4"/>
      <c r="K53" s="31"/>
      <c r="L53" s="7"/>
      <c r="M53" s="7"/>
      <c r="N53" s="7"/>
      <c r="O53" s="7"/>
    </row>
    <row r="54" spans="4:19">
      <c r="D54" s="4"/>
      <c r="E54" s="4"/>
      <c r="F54" s="7"/>
      <c r="G54" s="7"/>
      <c r="H54" s="7"/>
      <c r="I54" s="7"/>
      <c r="J54" s="4"/>
      <c r="K54" s="7"/>
      <c r="L54" s="7"/>
      <c r="M54" s="7"/>
      <c r="N54" s="7"/>
      <c r="O54" s="7"/>
    </row>
    <row r="55" spans="4:19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7" spans="4:19" ht="15.75" thickBot="1"/>
    <row r="58" spans="4:19" ht="15.75">
      <c r="D58" s="110"/>
      <c r="E58" s="111"/>
      <c r="F58" s="112" t="s">
        <v>2</v>
      </c>
      <c r="G58" s="113" t="s">
        <v>3</v>
      </c>
      <c r="H58" s="58"/>
      <c r="I58" s="58"/>
      <c r="J58" s="110"/>
      <c r="K58" s="111"/>
      <c r="L58" s="112" t="s">
        <v>2</v>
      </c>
      <c r="M58" s="113" t="s">
        <v>3</v>
      </c>
      <c r="N58" s="56"/>
      <c r="O58" s="56"/>
      <c r="P58" s="108"/>
    </row>
    <row r="59" spans="4:19" ht="15.75">
      <c r="D59" s="25" t="b">
        <f>AND($D$1=5,$D$7=1,'Impianti Titolo II'!$C$3&lt;=3,'Impianti Titolo II'!$C$3&gt;=1)</f>
        <v>0</v>
      </c>
      <c r="E59" s="31" t="s">
        <v>7</v>
      </c>
      <c r="F59" s="61">
        <v>133</v>
      </c>
      <c r="G59" s="62">
        <f t="shared" ref="G59:G64" si="29">F59-82</f>
        <v>51</v>
      </c>
      <c r="H59" s="63">
        <f t="shared" ref="H59:H64" si="30">IF(D59=TRUE,F59,0)</f>
        <v>0</v>
      </c>
      <c r="I59" s="108">
        <f t="shared" ref="I59:I64" si="31">IF(D59=TRUE,G59,0)</f>
        <v>0</v>
      </c>
      <c r="J59" s="25" t="b">
        <f>AND($D$1=5,$D$7=2,'Impianti Titolo II'!$C$3&lt;=3,'Impianti Titolo II'!$C$3&gt;=1)</f>
        <v>0</v>
      </c>
      <c r="K59" s="31" t="s">
        <v>7</v>
      </c>
      <c r="L59" s="61">
        <v>130</v>
      </c>
      <c r="M59" s="62">
        <f t="shared" ref="M59:M64" si="32">L59-82</f>
        <v>48</v>
      </c>
      <c r="N59" s="7">
        <f>IF(J59=TRUE,L59,0)</f>
        <v>0</v>
      </c>
      <c r="O59" s="7">
        <f>IF(J59=TRUE,M59,0)</f>
        <v>0</v>
      </c>
      <c r="P59" s="108"/>
    </row>
    <row r="60" spans="4:19" ht="15.75">
      <c r="D60" s="25" t="b">
        <f>AND($D$1=5,$D$7=1,'Impianti Titolo II'!$C$3&lt;=20,'Impianti Titolo II'!$C$3&gt;3)</f>
        <v>0</v>
      </c>
      <c r="E60" s="31" t="s">
        <v>8</v>
      </c>
      <c r="F60" s="61">
        <v>128</v>
      </c>
      <c r="G60" s="62">
        <f t="shared" si="29"/>
        <v>46</v>
      </c>
      <c r="H60" s="63">
        <f t="shared" si="30"/>
        <v>0</v>
      </c>
      <c r="I60" s="108">
        <f t="shared" si="31"/>
        <v>0</v>
      </c>
      <c r="J60" s="25" t="b">
        <f>AND($D$1=5,$D$7=2,'Impianti Titolo II'!$C$3&lt;=20,'Impianti Titolo II'!$C$3&gt;3)</f>
        <v>0</v>
      </c>
      <c r="K60" s="31" t="s">
        <v>8</v>
      </c>
      <c r="L60" s="61">
        <v>124</v>
      </c>
      <c r="M60" s="62">
        <f t="shared" si="32"/>
        <v>42</v>
      </c>
      <c r="N60" s="7">
        <f t="shared" ref="N60:N64" si="33">IF(J60=TRUE,L60,0)</f>
        <v>0</v>
      </c>
      <c r="O60" s="7">
        <f t="shared" ref="O60:O64" si="34">IF(J60=TRUE,M60,0)</f>
        <v>0</v>
      </c>
    </row>
    <row r="61" spans="4:19" ht="15.75">
      <c r="D61" s="25" t="b">
        <f>AND($D$1=5,$D$7=1,'Impianti Titolo II'!$C$3&lt;=200,'Impianti Titolo II'!$C$3&gt;20)</f>
        <v>0</v>
      </c>
      <c r="E61" s="31" t="s">
        <v>9</v>
      </c>
      <c r="F61" s="61">
        <v>122</v>
      </c>
      <c r="G61" s="62">
        <f t="shared" si="29"/>
        <v>40</v>
      </c>
      <c r="H61" s="63">
        <f t="shared" si="30"/>
        <v>0</v>
      </c>
      <c r="I61" s="108">
        <f t="shared" si="31"/>
        <v>0</v>
      </c>
      <c r="J61" s="25" t="b">
        <f>AND($D$1=5,$D$7=2,'Impianti Titolo II'!$C$3&lt;=200,'Impianti Titolo II'!$C$3&gt;20)</f>
        <v>0</v>
      </c>
      <c r="K61" s="31" t="s">
        <v>9</v>
      </c>
      <c r="L61" s="61">
        <v>118</v>
      </c>
      <c r="M61" s="62">
        <f t="shared" si="32"/>
        <v>36</v>
      </c>
      <c r="N61" s="7">
        <f t="shared" si="33"/>
        <v>0</v>
      </c>
      <c r="O61" s="7">
        <f t="shared" si="34"/>
        <v>0</v>
      </c>
    </row>
    <row r="62" spans="4:19" ht="15.75">
      <c r="D62" s="25" t="b">
        <f>AND($D$1=5,$D$7=1,'Impianti Titolo II'!$C$3&lt;=1000,'Impianti Titolo II'!$C$3&gt;200)</f>
        <v>0</v>
      </c>
      <c r="E62" s="31" t="s">
        <v>10</v>
      </c>
      <c r="F62" s="56">
        <v>106</v>
      </c>
      <c r="G62" s="57">
        <f t="shared" si="29"/>
        <v>24</v>
      </c>
      <c r="H62" s="58">
        <f t="shared" si="30"/>
        <v>0</v>
      </c>
      <c r="I62" s="108">
        <f t="shared" si="31"/>
        <v>0</v>
      </c>
      <c r="J62" s="25" t="b">
        <f>AND($D$1=5,$D$7=2,'Impianti Titolo II'!$C$3&lt;=1000,'Impianti Titolo II'!$C$3&gt;200)</f>
        <v>0</v>
      </c>
      <c r="K62" s="31" t="s">
        <v>10</v>
      </c>
      <c r="L62" s="56">
        <v>102</v>
      </c>
      <c r="M62" s="57">
        <f t="shared" si="32"/>
        <v>20</v>
      </c>
      <c r="N62" s="7">
        <f t="shared" si="33"/>
        <v>0</v>
      </c>
      <c r="O62" s="7">
        <f t="shared" si="34"/>
        <v>0</v>
      </c>
    </row>
    <row r="63" spans="4:19" ht="16.5" thickBot="1">
      <c r="D63" s="25" t="b">
        <f>AND($D$1=5,$D$7=1,'Impianti Titolo II'!$C$3&lt;=5000,'Impianti Titolo II'!$C$3&gt;1000)</f>
        <v>0</v>
      </c>
      <c r="E63" s="31" t="s">
        <v>11</v>
      </c>
      <c r="F63" s="61">
        <v>100</v>
      </c>
      <c r="G63" s="62">
        <f t="shared" si="29"/>
        <v>18</v>
      </c>
      <c r="H63" s="63">
        <f t="shared" si="30"/>
        <v>0</v>
      </c>
      <c r="I63" s="108">
        <f t="shared" si="31"/>
        <v>0</v>
      </c>
      <c r="J63" s="32" t="b">
        <f>AND($D$1=5,$D$7=2,'Impianti Titolo II'!$C$3&lt;=5000,'Impianti Titolo II'!$C$3&gt;1000)</f>
        <v>0</v>
      </c>
      <c r="K63" s="41" t="s">
        <v>11</v>
      </c>
      <c r="L63" s="68">
        <v>97</v>
      </c>
      <c r="M63" s="69">
        <f t="shared" si="32"/>
        <v>15</v>
      </c>
      <c r="N63" s="7">
        <f t="shared" si="33"/>
        <v>0</v>
      </c>
      <c r="O63" s="7">
        <f t="shared" si="34"/>
        <v>0</v>
      </c>
    </row>
    <row r="64" spans="4:19" ht="16.5" thickBot="1">
      <c r="D64" s="32" t="b">
        <f>AND($D$1=5,$D$7=1,'Impianti Titolo II'!$C$3&gt;=5000)</f>
        <v>0</v>
      </c>
      <c r="E64" s="41" t="s">
        <v>12</v>
      </c>
      <c r="F64" s="68">
        <v>95</v>
      </c>
      <c r="G64" s="69">
        <f t="shared" si="29"/>
        <v>13</v>
      </c>
      <c r="H64" s="63">
        <f t="shared" si="30"/>
        <v>0</v>
      </c>
      <c r="I64" s="108">
        <f t="shared" si="31"/>
        <v>0</v>
      </c>
      <c r="J64" s="25" t="b">
        <f>AND($D$1=5,$D$7=2,'Impianti Titolo II'!$C$3&gt;=5000)</f>
        <v>0</v>
      </c>
      <c r="K64" s="41" t="s">
        <v>12</v>
      </c>
      <c r="L64" s="68">
        <v>92</v>
      </c>
      <c r="M64" s="69">
        <f t="shared" si="32"/>
        <v>10</v>
      </c>
      <c r="N64" s="7">
        <f t="shared" si="33"/>
        <v>0</v>
      </c>
      <c r="O64" s="7">
        <f t="shared" si="34"/>
        <v>0</v>
      </c>
    </row>
    <row r="65" spans="4:18" ht="15.75">
      <c r="D65" s="60"/>
      <c r="E65" s="60"/>
      <c r="F65" s="63"/>
      <c r="G65" s="63"/>
      <c r="H65" s="85">
        <f>SUM(H59:H64)</f>
        <v>0</v>
      </c>
      <c r="I65" s="86">
        <f>SUM(I59:I64)</f>
        <v>0</v>
      </c>
      <c r="J65" s="63"/>
      <c r="K65" s="63"/>
      <c r="L65" s="63"/>
      <c r="M65" s="63"/>
      <c r="N65" s="85">
        <f>SUM(N59:N64)</f>
        <v>0</v>
      </c>
      <c r="O65" s="85">
        <f>SUM(O59:O64)</f>
        <v>0</v>
      </c>
    </row>
    <row r="66" spans="4:18"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7"/>
      <c r="R66" s="4"/>
    </row>
    <row r="68" spans="4:18">
      <c r="H68" s="84"/>
      <c r="I68" s="84"/>
      <c r="N68" s="84"/>
      <c r="O68" s="84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Calcoli Titolo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2012-07-16T10:22:24Z</dcterms:modified>
</cp:coreProperties>
</file>