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Calcoli Titolo II" sheetId="6" r:id="rId2"/>
  </sheets>
  <definedNames>
    <definedName name="_xlnm.Print_Area" localSheetId="0">'Impianti Titolo II'!$A$1:$X$67</definedName>
  </definedNames>
  <calcPr calcId="125725" forceFullCalc="1"/>
</workbook>
</file>

<file path=xl/calcChain.xml><?xml version="1.0" encoding="utf-8"?>
<calcChain xmlns="http://schemas.openxmlformats.org/spreadsheetml/2006/main">
  <c r="F76" i="6"/>
  <c r="F75"/>
  <c r="D78" s="1"/>
  <c r="C35" i="1"/>
  <c r="E60" s="1"/>
  <c r="E62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D79" l="1"/>
  <c r="W83"/>
  <c r="V83"/>
  <c r="U83"/>
  <c r="T83"/>
  <c r="S83"/>
  <c r="R83"/>
  <c r="Q83"/>
  <c r="P83"/>
  <c r="O83"/>
  <c r="N83"/>
  <c r="M83"/>
  <c r="J83"/>
  <c r="L83"/>
  <c r="K83"/>
  <c r="I83"/>
  <c r="H83"/>
  <c r="G83"/>
  <c r="F83"/>
  <c r="E83"/>
  <c r="D83"/>
  <c r="G78"/>
  <c r="K78"/>
  <c r="O78"/>
  <c r="S78"/>
  <c r="W78"/>
  <c r="J78"/>
  <c r="N78"/>
  <c r="R78"/>
  <c r="V78"/>
  <c r="I78"/>
  <c r="M78"/>
  <c r="Q78"/>
  <c r="U78"/>
  <c r="H78"/>
  <c r="L78"/>
  <c r="P78"/>
  <c r="T78"/>
  <c r="F78"/>
  <c r="E78"/>
  <c r="S41"/>
  <c r="C28" i="1" s="1"/>
  <c r="E79" i="6" l="1"/>
  <c r="D82"/>
  <c r="C30" i="1"/>
  <c r="F79" i="6" l="1"/>
  <c r="E82"/>
  <c r="H14"/>
  <c r="H15"/>
  <c r="H16"/>
  <c r="M1"/>
  <c r="P20" s="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G32" i="1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G79" i="6" l="1"/>
  <c r="F82"/>
  <c r="R20"/>
  <c r="P22"/>
  <c r="R22" s="1"/>
  <c r="P23"/>
  <c r="R23" s="1"/>
  <c r="P24"/>
  <c r="R24" s="1"/>
  <c r="P21"/>
  <c r="R21" s="1"/>
  <c r="P2"/>
  <c r="R2" s="1"/>
  <c r="P1"/>
  <c r="R1" s="1"/>
  <c r="P4"/>
  <c r="R4" s="1"/>
  <c r="P3"/>
  <c r="R3" s="1"/>
  <c r="P19"/>
  <c r="R19" s="1"/>
  <c r="P17"/>
  <c r="R17" s="1"/>
  <c r="P15"/>
  <c r="R15" s="1"/>
  <c r="P18"/>
  <c r="R18" s="1"/>
  <c r="P16"/>
  <c r="R16" s="1"/>
  <c r="P14"/>
  <c r="R14" s="1"/>
  <c r="P12"/>
  <c r="R12" s="1"/>
  <c r="P10"/>
  <c r="R10" s="1"/>
  <c r="P8"/>
  <c r="R8" s="1"/>
  <c r="P6"/>
  <c r="R6" s="1"/>
  <c r="P13"/>
  <c r="R13" s="1"/>
  <c r="P11"/>
  <c r="R11" s="1"/>
  <c r="P9"/>
  <c r="R9" s="1"/>
  <c r="P7"/>
  <c r="R7" s="1"/>
  <c r="P5"/>
  <c r="R5" s="1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29"/>
  <c r="I62"/>
  <c r="I64"/>
  <c r="O64"/>
  <c r="O29"/>
  <c r="H51"/>
  <c r="H65"/>
  <c r="N51"/>
  <c r="N65"/>
  <c r="H18"/>
  <c r="N18"/>
  <c r="H23"/>
  <c r="N23"/>
  <c r="H25"/>
  <c r="N25"/>
  <c r="H27"/>
  <c r="N27"/>
  <c r="H35"/>
  <c r="N35"/>
  <c r="I36"/>
  <c r="I39" s="1"/>
  <c r="O36"/>
  <c r="O39" s="1"/>
  <c r="H79" l="1"/>
  <c r="G82"/>
  <c r="H19"/>
  <c r="H39"/>
  <c r="N19"/>
  <c r="N39"/>
  <c r="O19"/>
  <c r="I19"/>
  <c r="I51"/>
  <c r="O51"/>
  <c r="I65"/>
  <c r="O65"/>
  <c r="H29"/>
  <c r="R27"/>
  <c r="N29"/>
  <c r="C25" i="1"/>
  <c r="I79" i="6" l="1"/>
  <c r="H82"/>
  <c r="C29" i="1"/>
  <c r="C36"/>
  <c r="E46"/>
  <c r="F20"/>
  <c r="F21"/>
  <c r="E21"/>
  <c r="E20"/>
  <c r="E47"/>
  <c r="E52" s="1"/>
  <c r="J79" i="6" l="1"/>
  <c r="I82"/>
  <c r="F47" i="1"/>
  <c r="F52" s="1"/>
  <c r="F46"/>
  <c r="G46" s="1"/>
  <c r="H46" s="1"/>
  <c r="I46" s="1"/>
  <c r="J46" s="1"/>
  <c r="K46" s="1"/>
  <c r="L46" s="1"/>
  <c r="M46" s="1"/>
  <c r="N46" s="1"/>
  <c r="O46" s="1"/>
  <c r="P46" s="1"/>
  <c r="Q46" s="1"/>
  <c r="R46" s="1"/>
  <c r="S46" s="1"/>
  <c r="T46" s="1"/>
  <c r="U46" s="1"/>
  <c r="V46" s="1"/>
  <c r="W46" s="1"/>
  <c r="X46" s="1"/>
  <c r="E61"/>
  <c r="U61"/>
  <c r="Q61"/>
  <c r="M61"/>
  <c r="I61"/>
  <c r="V61"/>
  <c r="R61"/>
  <c r="N61"/>
  <c r="J61"/>
  <c r="F61"/>
  <c r="W61"/>
  <c r="S61"/>
  <c r="O61"/>
  <c r="K61"/>
  <c r="G61"/>
  <c r="X61"/>
  <c r="T61"/>
  <c r="P61"/>
  <c r="L61"/>
  <c r="H61"/>
  <c r="E48"/>
  <c r="K79" i="6" l="1"/>
  <c r="J82"/>
  <c r="G47" i="1"/>
  <c r="G52" s="1"/>
  <c r="F48"/>
  <c r="L79" i="6" l="1"/>
  <c r="K82"/>
  <c r="G48" i="1"/>
  <c r="H47"/>
  <c r="H52" s="1"/>
  <c r="M79" i="6" l="1"/>
  <c r="L82"/>
  <c r="H48" i="1"/>
  <c r="I47"/>
  <c r="I52" s="1"/>
  <c r="N79" i="6" l="1"/>
  <c r="M82"/>
  <c r="I48" i="1"/>
  <c r="J47"/>
  <c r="J52" s="1"/>
  <c r="O79" i="6" l="1"/>
  <c r="N82"/>
  <c r="J48" i="1"/>
  <c r="K47"/>
  <c r="K52" s="1"/>
  <c r="P79" i="6" l="1"/>
  <c r="O82"/>
  <c r="K48" i="1"/>
  <c r="L47"/>
  <c r="L52" s="1"/>
  <c r="Q79" i="6" l="1"/>
  <c r="P82"/>
  <c r="L48" i="1"/>
  <c r="M47"/>
  <c r="M52" s="1"/>
  <c r="R79" i="6" l="1"/>
  <c r="Q82"/>
  <c r="M48" i="1"/>
  <c r="N47"/>
  <c r="N52" s="1"/>
  <c r="S79" i="6" l="1"/>
  <c r="R82"/>
  <c r="N48" i="1"/>
  <c r="O47"/>
  <c r="O52" s="1"/>
  <c r="T79" i="6" l="1"/>
  <c r="S82"/>
  <c r="O48" i="1"/>
  <c r="P47"/>
  <c r="P52" s="1"/>
  <c r="U79" i="6" l="1"/>
  <c r="T82"/>
  <c r="P48" i="1"/>
  <c r="Q47"/>
  <c r="Q52" s="1"/>
  <c r="V79" i="6" l="1"/>
  <c r="U82"/>
  <c r="Q48" i="1"/>
  <c r="R47"/>
  <c r="R52" s="1"/>
  <c r="W79" i="6" l="1"/>
  <c r="W82" s="1"/>
  <c r="V82"/>
  <c r="R48" i="1"/>
  <c r="S47"/>
  <c r="S52" s="1"/>
  <c r="S48" l="1"/>
  <c r="T47"/>
  <c r="T52" s="1"/>
  <c r="T48" l="1"/>
  <c r="U47"/>
  <c r="U52" s="1"/>
  <c r="U48" l="1"/>
  <c r="V47"/>
  <c r="D21"/>
  <c r="D20"/>
  <c r="W47" l="1"/>
  <c r="W51" s="1"/>
  <c r="V52"/>
  <c r="V48"/>
  <c r="V50" s="1"/>
  <c r="E51"/>
  <c r="U51"/>
  <c r="Q51"/>
  <c r="M51"/>
  <c r="I51"/>
  <c r="V51"/>
  <c r="R51"/>
  <c r="N51"/>
  <c r="J51"/>
  <c r="F51"/>
  <c r="S51"/>
  <c r="O51"/>
  <c r="K51"/>
  <c r="G51"/>
  <c r="T51"/>
  <c r="P51"/>
  <c r="L51"/>
  <c r="H51"/>
  <c r="E50"/>
  <c r="U50"/>
  <c r="Q50"/>
  <c r="M50"/>
  <c r="I50"/>
  <c r="R50"/>
  <c r="N50"/>
  <c r="J50"/>
  <c r="F50"/>
  <c r="S50"/>
  <c r="O50"/>
  <c r="K50"/>
  <c r="G50"/>
  <c r="T50"/>
  <c r="P50"/>
  <c r="L50"/>
  <c r="H50"/>
  <c r="X47" l="1"/>
  <c r="X52" s="1"/>
  <c r="W52"/>
  <c r="W48"/>
  <c r="W50" s="1"/>
  <c r="E53"/>
  <c r="F53"/>
  <c r="I53"/>
  <c r="U53"/>
  <c r="O53"/>
  <c r="V53"/>
  <c r="L53"/>
  <c r="G53"/>
  <c r="R53"/>
  <c r="Q53"/>
  <c r="T53"/>
  <c r="J53"/>
  <c r="P53"/>
  <c r="K53"/>
  <c r="H53"/>
  <c r="S53"/>
  <c r="N53"/>
  <c r="M53"/>
  <c r="W53" l="1"/>
  <c r="X48"/>
  <c r="X50" s="1"/>
  <c r="X51"/>
  <c r="X53" l="1"/>
  <c r="D85" i="6" l="1"/>
  <c r="E85" s="1"/>
  <c r="F55" i="1" l="1"/>
  <c r="E67" i="6" s="1"/>
  <c r="F56" i="1" s="1"/>
  <c r="E89" i="6" s="1"/>
  <c r="F85"/>
  <c r="E55" i="1"/>
  <c r="G55" l="1"/>
  <c r="F67" i="6" s="1"/>
  <c r="G56" i="1" s="1"/>
  <c r="F89" i="6" s="1"/>
  <c r="F100" s="1"/>
  <c r="G85"/>
  <c r="F58" i="1"/>
  <c r="E100" i="6"/>
  <c r="E103"/>
  <c r="E97"/>
  <c r="E91"/>
  <c r="E92" s="1"/>
  <c r="E94"/>
  <c r="E95" s="1"/>
  <c r="E101"/>
  <c r="D67"/>
  <c r="E56" i="1" s="1"/>
  <c r="D89" i="6" s="1"/>
  <c r="D103" s="1"/>
  <c r="F103" l="1"/>
  <c r="F94"/>
  <c r="F95" s="1"/>
  <c r="F97"/>
  <c r="F91"/>
  <c r="F92" s="1"/>
  <c r="G58" i="1"/>
  <c r="H55"/>
  <c r="G67" i="6" s="1"/>
  <c r="H56" i="1" s="1"/>
  <c r="H85" i="6"/>
  <c r="F101"/>
  <c r="D91"/>
  <c r="D92" s="1"/>
  <c r="D94"/>
  <c r="D95" s="1"/>
  <c r="E58" i="1"/>
  <c r="D97" i="6"/>
  <c r="D100"/>
  <c r="D101" s="1"/>
  <c r="F98"/>
  <c r="E98"/>
  <c r="E104" s="1"/>
  <c r="F104" l="1"/>
  <c r="F107" s="1"/>
  <c r="G57" i="1" s="1"/>
  <c r="G64" s="1"/>
  <c r="H58"/>
  <c r="G89" i="6"/>
  <c r="I55" i="1"/>
  <c r="H67" i="6" s="1"/>
  <c r="I56" i="1" s="1"/>
  <c r="I85" i="6"/>
  <c r="E107"/>
  <c r="F57" i="1" s="1"/>
  <c r="F64" s="1"/>
  <c r="D98" i="6"/>
  <c r="G103" l="1"/>
  <c r="G97"/>
  <c r="G98" s="1"/>
  <c r="G91"/>
  <c r="G92" s="1"/>
  <c r="G100"/>
  <c r="G101" s="1"/>
  <c r="G94"/>
  <c r="G95" s="1"/>
  <c r="H89"/>
  <c r="I58" i="1"/>
  <c r="J55"/>
  <c r="I67" i="6" s="1"/>
  <c r="J56" i="1" s="1"/>
  <c r="J85" i="6"/>
  <c r="D104"/>
  <c r="D107" s="1"/>
  <c r="E57" i="1" s="1"/>
  <c r="E64" s="1"/>
  <c r="E67" s="1"/>
  <c r="F67" s="1"/>
  <c r="G67" s="1"/>
  <c r="G104" i="6" l="1"/>
  <c r="G107" s="1"/>
  <c r="H57" i="1" s="1"/>
  <c r="H64" s="1"/>
  <c r="H67" s="1"/>
  <c r="K55"/>
  <c r="J67" i="6" s="1"/>
  <c r="K56" i="1" s="1"/>
  <c r="K85" i="6"/>
  <c r="H103"/>
  <c r="H91"/>
  <c r="H92" s="1"/>
  <c r="H97"/>
  <c r="H98" s="1"/>
  <c r="H104" s="1"/>
  <c r="H94"/>
  <c r="H95" s="1"/>
  <c r="H100"/>
  <c r="H101" s="1"/>
  <c r="J58" i="1"/>
  <c r="I89" i="6"/>
  <c r="H107" l="1"/>
  <c r="I57" i="1" s="1"/>
  <c r="I64" s="1"/>
  <c r="I67" s="1"/>
  <c r="J89" i="6"/>
  <c r="K58" i="1"/>
  <c r="I91" i="6"/>
  <c r="I92" s="1"/>
  <c r="I94"/>
  <c r="I95" s="1"/>
  <c r="I97"/>
  <c r="I98" s="1"/>
  <c r="I103"/>
  <c r="I104" s="1"/>
  <c r="I100"/>
  <c r="I101" s="1"/>
  <c r="L55" i="1"/>
  <c r="K67" i="6" s="1"/>
  <c r="L56" i="1" s="1"/>
  <c r="L85" i="6"/>
  <c r="I107" l="1"/>
  <c r="J57" i="1" s="1"/>
  <c r="J64" s="1"/>
  <c r="J67" s="1"/>
  <c r="M55"/>
  <c r="L67" i="6" s="1"/>
  <c r="M56" i="1" s="1"/>
  <c r="M85" i="6"/>
  <c r="J91"/>
  <c r="J92" s="1"/>
  <c r="J94"/>
  <c r="J95" s="1"/>
  <c r="J103"/>
  <c r="J100"/>
  <c r="J101" s="1"/>
  <c r="J97"/>
  <c r="J98" s="1"/>
  <c r="K89"/>
  <c r="L58" i="1"/>
  <c r="L89" i="6" l="1"/>
  <c r="M58" i="1"/>
  <c r="N55"/>
  <c r="M67" i="6" s="1"/>
  <c r="N56" i="1" s="1"/>
  <c r="N85" i="6"/>
  <c r="K103"/>
  <c r="K91"/>
  <c r="K92" s="1"/>
  <c r="K97"/>
  <c r="K98" s="1"/>
  <c r="K94"/>
  <c r="K95" s="1"/>
  <c r="K100"/>
  <c r="K101" s="1"/>
  <c r="J104"/>
  <c r="J107" s="1"/>
  <c r="K57" i="1" s="1"/>
  <c r="K64" s="1"/>
  <c r="K67" s="1"/>
  <c r="K104" i="6" l="1"/>
  <c r="K107" s="1"/>
  <c r="L57" i="1" s="1"/>
  <c r="L64" s="1"/>
  <c r="L67" s="1"/>
  <c r="L103" i="6"/>
  <c r="L100"/>
  <c r="L101" s="1"/>
  <c r="L91"/>
  <c r="L92" s="1"/>
  <c r="L97"/>
  <c r="L98" s="1"/>
  <c r="L104" s="1"/>
  <c r="L94"/>
  <c r="L95" s="1"/>
  <c r="N58" i="1"/>
  <c r="M89" i="6"/>
  <c r="O55" i="1"/>
  <c r="N67" i="6" s="1"/>
  <c r="O56" i="1" s="1"/>
  <c r="O85" i="6"/>
  <c r="N89" l="1"/>
  <c r="O58" i="1"/>
  <c r="P55"/>
  <c r="O67" i="6" s="1"/>
  <c r="P56" i="1" s="1"/>
  <c r="P85" i="6"/>
  <c r="M97"/>
  <c r="M98" s="1"/>
  <c r="M104" s="1"/>
  <c r="M100"/>
  <c r="M101" s="1"/>
  <c r="M91"/>
  <c r="M92" s="1"/>
  <c r="M103"/>
  <c r="M94"/>
  <c r="M95" s="1"/>
  <c r="L107"/>
  <c r="M57" i="1" s="1"/>
  <c r="M64" s="1"/>
  <c r="M67" s="1"/>
  <c r="Q55" l="1"/>
  <c r="P67" i="6" s="1"/>
  <c r="Q56" i="1" s="1"/>
  <c r="Q85" i="6"/>
  <c r="N103"/>
  <c r="N97"/>
  <c r="N98" s="1"/>
  <c r="N94"/>
  <c r="N95" s="1"/>
  <c r="N100"/>
  <c r="N101" s="1"/>
  <c r="N91"/>
  <c r="N92" s="1"/>
  <c r="O89"/>
  <c r="P58" i="1"/>
  <c r="M107" i="6"/>
  <c r="N57" i="1" s="1"/>
  <c r="N64" s="1"/>
  <c r="N67" s="1"/>
  <c r="N104" i="6" l="1"/>
  <c r="N107" s="1"/>
  <c r="O57" i="1" s="1"/>
  <c r="O64" s="1"/>
  <c r="O67" s="1"/>
  <c r="O100" i="6"/>
  <c r="O101" s="1"/>
  <c r="O103"/>
  <c r="O104" s="1"/>
  <c r="O91"/>
  <c r="O92" s="1"/>
  <c r="O97"/>
  <c r="O98" s="1"/>
  <c r="O94"/>
  <c r="O95" s="1"/>
  <c r="P89"/>
  <c r="Q58" i="1"/>
  <c r="R55"/>
  <c r="Q67" i="6" s="1"/>
  <c r="R56" i="1" s="1"/>
  <c r="R85" i="6"/>
  <c r="Q89" l="1"/>
  <c r="R58" i="1"/>
  <c r="S55"/>
  <c r="R67" i="6" s="1"/>
  <c r="S56" i="1" s="1"/>
  <c r="S85" i="6"/>
  <c r="P103"/>
  <c r="P104" s="1"/>
  <c r="P94"/>
  <c r="P95" s="1"/>
  <c r="P91"/>
  <c r="P92" s="1"/>
  <c r="P97"/>
  <c r="P98" s="1"/>
  <c r="P100"/>
  <c r="P101" s="1"/>
  <c r="O107"/>
  <c r="P57" i="1" s="1"/>
  <c r="P64" s="1"/>
  <c r="P67" s="1"/>
  <c r="P107" i="6" l="1"/>
  <c r="Q57" i="1" s="1"/>
  <c r="Q64" s="1"/>
  <c r="Q67" s="1"/>
  <c r="Q103" i="6"/>
  <c r="Q104" s="1"/>
  <c r="Q97"/>
  <c r="Q98" s="1"/>
  <c r="Q91"/>
  <c r="Q92" s="1"/>
  <c r="Q94"/>
  <c r="Q95" s="1"/>
  <c r="Q100"/>
  <c r="Q101" s="1"/>
  <c r="R89"/>
  <c r="S58" i="1"/>
  <c r="T85" i="6"/>
  <c r="T55" i="1"/>
  <c r="S67" i="6" s="1"/>
  <c r="T56" i="1" s="1"/>
  <c r="S89" i="6" l="1"/>
  <c r="T58" i="1"/>
  <c r="R103" i="6"/>
  <c r="R104" s="1"/>
  <c r="R100"/>
  <c r="R101" s="1"/>
  <c r="R91"/>
  <c r="R92" s="1"/>
  <c r="R94"/>
  <c r="R95" s="1"/>
  <c r="R97"/>
  <c r="R98" s="1"/>
  <c r="U55" i="1"/>
  <c r="T67" i="6" s="1"/>
  <c r="U56" i="1" s="1"/>
  <c r="U85" i="6"/>
  <c r="Q107"/>
  <c r="R57" i="1" s="1"/>
  <c r="R64" s="1"/>
  <c r="R67" s="1"/>
  <c r="S103" i="6" l="1"/>
  <c r="S104" s="1"/>
  <c r="S94"/>
  <c r="S95" s="1"/>
  <c r="S91"/>
  <c r="S92" s="1"/>
  <c r="S100"/>
  <c r="S101" s="1"/>
  <c r="S97"/>
  <c r="S98" s="1"/>
  <c r="V55" i="1"/>
  <c r="U67" i="6" s="1"/>
  <c r="V56" i="1" s="1"/>
  <c r="V85" i="6"/>
  <c r="T89"/>
  <c r="U58" i="1"/>
  <c r="R107" i="6"/>
  <c r="S57" i="1" s="1"/>
  <c r="S64" s="1"/>
  <c r="S67" s="1"/>
  <c r="S107" i="6" l="1"/>
  <c r="T57" i="1" s="1"/>
  <c r="T64" s="1"/>
  <c r="T67" s="1"/>
  <c r="V58"/>
  <c r="U89" i="6"/>
  <c r="W55" i="1"/>
  <c r="V67" i="6" s="1"/>
  <c r="W56" i="1" s="1"/>
  <c r="W85" i="6"/>
  <c r="X55" i="1" s="1"/>
  <c r="W67" i="6" s="1"/>
  <c r="X56" i="1" s="1"/>
  <c r="T103" i="6"/>
  <c r="T104" s="1"/>
  <c r="T91"/>
  <c r="T92" s="1"/>
  <c r="T94"/>
  <c r="T95" s="1"/>
  <c r="T97"/>
  <c r="T98" s="1"/>
  <c r="T100"/>
  <c r="T101" s="1"/>
  <c r="W89" l="1"/>
  <c r="X58" i="1"/>
  <c r="U103" i="6"/>
  <c r="U104" s="1"/>
  <c r="U94"/>
  <c r="U95" s="1"/>
  <c r="U91"/>
  <c r="U92" s="1"/>
  <c r="U100"/>
  <c r="U101" s="1"/>
  <c r="U97"/>
  <c r="U98" s="1"/>
  <c r="V89"/>
  <c r="W58" i="1"/>
  <c r="T107" i="6"/>
  <c r="U57" i="1" s="1"/>
  <c r="U64" s="1"/>
  <c r="U67" s="1"/>
  <c r="W91" i="6" l="1"/>
  <c r="W92" s="1"/>
  <c r="W103"/>
  <c r="W104" s="1"/>
  <c r="W94"/>
  <c r="W95" s="1"/>
  <c r="W97"/>
  <c r="W98" s="1"/>
  <c r="W100"/>
  <c r="W101" s="1"/>
  <c r="V103"/>
  <c r="V104" s="1"/>
  <c r="V97"/>
  <c r="V98" s="1"/>
  <c r="V94"/>
  <c r="V95" s="1"/>
  <c r="V91"/>
  <c r="V92" s="1"/>
  <c r="V100"/>
  <c r="V101" s="1"/>
  <c r="U107"/>
  <c r="V57" i="1" s="1"/>
  <c r="V64" s="1"/>
  <c r="V67" s="1"/>
  <c r="V107" i="6" l="1"/>
  <c r="W57" i="1" s="1"/>
  <c r="W64" s="1"/>
  <c r="W67" s="1"/>
  <c r="W107" i="6"/>
  <c r="X57" i="1" s="1"/>
  <c r="X64" s="1"/>
  <c r="X67" l="1"/>
</calcChain>
</file>

<file path=xl/sharedStrings.xml><?xml version="1.0" encoding="utf-8"?>
<sst xmlns="http://schemas.openxmlformats.org/spreadsheetml/2006/main" count="223" uniqueCount="129">
  <si>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</si>
  <si>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</si>
  <si>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</si>
  <si>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</si>
  <si>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</si>
  <si>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</si>
  <si>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</si>
  <si>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</si>
  <si>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</si>
  <si>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</si>
  <si>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</si>
  <si>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</si>
  <si>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</si>
  <si>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</si>
  <si>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</si>
  <si>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</si>
  <si>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</si>
  <si>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</si>
  <si>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</si>
  <si>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</si>
  <si>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</si>
  <si>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</si>
  <si>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</si>
  <si>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</si>
  <si>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</si>
  <si>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</si>
  <si>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</si>
  <si>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</si>
  <si>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</si>
  <si>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</si>
  <si>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</si>
  <si>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</si>
  <si>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</si>
  <si>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</si>
  <si>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</si>
  <si>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</si>
  <si>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</si>
  <si>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</si>
  <si>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</si>
  <si>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</si>
  <si>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</si>
  <si>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</si>
  <si>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</si>
  <si>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</si>
  <si>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Cassa (entrate-uscite)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</si>
  <si>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</si>
  <si>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</si>
  <si>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</si>
  <si>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</si>
  <si>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</si>
  <si>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</si>
  <si>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</si>
  <si>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</si>
  <si>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</si>
  <si>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</si>
  <si>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</si>
  <si>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</si>
  <si>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</si>
  <si>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</si>
  <si>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</si>
  <si>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</si>
  <si>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</si>
  <si>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</si>
  <si>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</si>
  <si>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</si>
  <si>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</si>
  <si>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</si>
  <si>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</si>
  <si>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</si>
  <si>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Costo Totale</t>
  </si>
  <si>
    <t>Calcolo impianto fotovoltaico Quinto Conto Energia (Impianti Titolo II)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</si>
  <si>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</si>
  <si>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</si>
  <si>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</si>
  <si>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</si>
  <si>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</si>
  <si>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</si>
  <si>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</si>
  <si>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</si>
  <si>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</si>
  <si>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</si>
  <si>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</si>
  <si>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</si>
  <si>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</si>
  <si>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 xml:space="preserve">Tipo di impianto 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</si>
  <si>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</si>
  <si>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</si>
  <si>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</si>
  <si>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</si>
  <si>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</si>
  <si>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</si>
  <si>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Altri costi una tantum</t>
  </si>
  <si>
    <t>Costi Allacciamento Enel, etc</t>
  </si>
  <si>
    <t>Decadimento prestazioni pannelli</t>
  </si>
  <si>
    <t>Consigliato 1% annuo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</si>
  <si>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</si>
  <si>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</si>
  <si>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</si>
  <si>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</si>
  <si>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</si>
  <si>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</si>
  <si>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Imponibile IRAP e IRPEF</t>
  </si>
  <si>
    <t>IRPEF</t>
  </si>
  <si>
    <t>IRAP</t>
  </si>
  <si>
    <t>Ammortamenti</t>
  </si>
  <si>
    <t>Totale spese + tasse</t>
  </si>
  <si>
    <t>Impianto soggetto a imposte</t>
  </si>
  <si>
    <t>Aliquota IRAP</t>
  </si>
  <si>
    <t>NO</t>
  </si>
  <si>
    <t>Soggetto a IRPEF</t>
  </si>
  <si>
    <t>Soggetto a IRPEF E IRAP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</si>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</sst>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6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4" fillId="0" borderId="2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7" xfId="0" applyFont="1" applyBorder="1" applyProtection="1"/>
    <xf numFmtId="0" fontId="1" fillId="0" borderId="16" xfId="0" applyFont="1" applyBorder="1" applyProtection="1"/>
    <xf numFmtId="0" fontId="4" fillId="0" borderId="27" xfId="0" applyFont="1" applyBorder="1" applyProtection="1"/>
    <xf numFmtId="0" fontId="4" fillId="0" borderId="28" xfId="0" applyFont="1" applyBorder="1" applyProtection="1"/>
    <xf numFmtId="0" fontId="1" fillId="0" borderId="19" xfId="0" applyFont="1" applyBorder="1" applyProtection="1"/>
    <xf numFmtId="0" fontId="4" fillId="0" borderId="19" xfId="0" applyFont="1" applyBorder="1" applyAlignment="1" applyProtection="1">
      <alignment horizontal="left"/>
    </xf>
    <xf numFmtId="0" fontId="1" fillId="0" borderId="17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9" xfId="0" applyFont="1" applyBorder="1" applyProtection="1"/>
    <xf numFmtId="164" fontId="7" fillId="0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6" xfId="0" applyBorder="1" applyAlignment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4" fontId="4" fillId="2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7" fontId="4" fillId="3" borderId="0" xfId="0" applyNumberFormat="1" applyFont="1" applyFill="1" applyBorder="1" applyAlignment="1" applyProtection="1">
      <alignment horizontal="center"/>
    </xf>
    <xf numFmtId="0" fontId="0" fillId="0" borderId="26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28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7275260172897969"/>
          <c:y val="8.4943382077240365E-2"/>
          <c:w val="0.72379861608208229"/>
          <c:h val="0.79811903400343165"/>
        </c:manualLayout>
      </c:layout>
      <c:barChart>
        <c:barDir val="col"/>
        <c:grouping val="clustered"/>
        <c:ser>
          <c:idx val="0"/>
          <c:order val="0"/>
          <c:val>
            <c:numRef>
              <c:f>'Impianti Titolo II'!$E$67:$X$67</c:f>
              <c:numCache>
                <c:formatCode>"€"\ #,##0</c:formatCode>
                <c:ptCount val="20"/>
                <c:pt idx="0">
                  <c:v>-82491.521200000003</c:v>
                </c:pt>
                <c:pt idx="1">
                  <c:v>-68355.197516</c:v>
                </c:pt>
                <c:pt idx="2">
                  <c:v>-54225.241902732007</c:v>
                </c:pt>
                <c:pt idx="3">
                  <c:v>-40099.537792790936</c:v>
                </c:pt>
                <c:pt idx="4">
                  <c:v>-25975.946482783012</c:v>
                </c:pt>
                <c:pt idx="5">
                  <c:v>-11852.306508847705</c:v>
                </c:pt>
                <c:pt idx="6">
                  <c:v>2273.5669886739906</c:v>
                </c:pt>
                <c:pt idx="7">
                  <c:v>16403.882911656834</c:v>
                </c:pt>
                <c:pt idx="8">
                  <c:v>30540.87486193045</c:v>
                </c:pt>
                <c:pt idx="9">
                  <c:v>44662.550425418121</c:v>
                </c:pt>
                <c:pt idx="10">
                  <c:v>58754.934620363361</c:v>
                </c:pt>
                <c:pt idx="11">
                  <c:v>72044.369373663576</c:v>
                </c:pt>
                <c:pt idx="12">
                  <c:v>83964.863125790333</c:v>
                </c:pt>
                <c:pt idx="13">
                  <c:v>95903.59525782631</c:v>
                </c:pt>
                <c:pt idx="14">
                  <c:v>107862.9620488259</c:v>
                </c:pt>
                <c:pt idx="15">
                  <c:v>119845.38941982144</c:v>
                </c:pt>
                <c:pt idx="16">
                  <c:v>131853.33369121529</c:v>
                </c:pt>
                <c:pt idx="17">
                  <c:v>143889.28235383861</c:v>
                </c:pt>
                <c:pt idx="18">
                  <c:v>155955.75485396379</c:v>
                </c:pt>
                <c:pt idx="19">
                  <c:v>168055.30339256258</c:v>
                </c:pt>
              </c:numCache>
            </c:numRef>
          </c:val>
        </c:ser>
        <c:axId val="57956224"/>
        <c:axId val="57957760"/>
      </c:barChart>
      <c:catAx>
        <c:axId val="57956224"/>
        <c:scaling>
          <c:orientation val="minMax"/>
        </c:scaling>
        <c:axPos val="b"/>
        <c:tickLblPos val="low"/>
        <c:crossAx val="57957760"/>
        <c:crosses val="autoZero"/>
        <c:auto val="1"/>
        <c:lblAlgn val="ctr"/>
        <c:lblOffset val="100"/>
      </c:catAx>
      <c:valAx>
        <c:axId val="57957760"/>
        <c:scaling>
          <c:orientation val="minMax"/>
        </c:scaling>
        <c:axPos val="l"/>
        <c:majorGridlines/>
        <c:numFmt formatCode="&quot;€&quot;\ #,##0" sourceLinked="1"/>
        <c:tickLblPos val="nextTo"/>
        <c:crossAx val="5795622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22</xdr:row>
      <xdr:rowOff>28575</xdr:rowOff>
    </xdr:from>
    <xdr:to>
      <xdr:col>20</xdr:col>
      <xdr:colOff>152400</xdr:colOff>
      <xdr:row>41</xdr:row>
      <xdr:rowOff>95250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67"/>
  <sheetViews>
    <sheetView tabSelected="1" zoomScaleNormal="100" workbookViewId="0">
      <selection activeCell="C4" sqref="C4"/>
    </sheetView>
  </sheetViews>
  <sheetFormatPr defaultRowHeight="15"/>
  <cols>
    <col min="1" max="1" width="14.7109375" style="7" customWidth="1"/>
    <col min="2" max="2" width="20.7109375" style="7" customWidth="1"/>
    <col min="3" max="3" width="8.140625" style="7" customWidth="1"/>
    <col min="4" max="4" width="6.140625" style="7" customWidth="1"/>
    <col min="5" max="24" width="9.7109375" style="7" customWidth="1"/>
    <col min="25" max="27" width="9.140625" style="7" customWidth="1"/>
    <col min="28" max="16384" width="9.140625" style="7"/>
  </cols>
  <sheetData>
    <row r="1" spans="1:17" s="2" customFormat="1" ht="18.75">
      <c r="A1" s="2" t="s">
        <v>70</v>
      </c>
    </row>
    <row r="2" spans="1:17" ht="13.5" customHeight="1" thickBot="1"/>
    <row r="3" spans="1:17" ht="16.5" thickBot="1">
      <c r="A3" s="9" t="s">
        <v>6</v>
      </c>
      <c r="B3" s="10"/>
      <c r="C3" s="70">
        <v>48</v>
      </c>
      <c r="D3" s="11" t="s">
        <v>13</v>
      </c>
      <c r="H3" s="98"/>
      <c r="I3" s="22" t="s">
        <v>72</v>
      </c>
      <c r="J3" s="22"/>
      <c r="K3" s="22"/>
      <c r="L3" s="115"/>
      <c r="M3" s="97"/>
      <c r="N3" s="22" t="s">
        <v>73</v>
      </c>
      <c r="O3" s="22"/>
      <c r="P3" s="22"/>
      <c r="Q3" s="22"/>
    </row>
    <row r="4" spans="1:17" ht="9.75" customHeight="1" thickBot="1">
      <c r="A4" s="12"/>
      <c r="B4" s="12"/>
      <c r="C4" s="13"/>
      <c r="D4" s="12"/>
      <c r="J4" s="114"/>
      <c r="K4" s="114"/>
      <c r="L4" s="114"/>
    </row>
    <row r="5" spans="1:17" ht="15.75" customHeight="1">
      <c r="A5" s="14"/>
      <c r="B5" s="15"/>
      <c r="C5" s="15"/>
      <c r="D5" s="15"/>
      <c r="E5" s="16"/>
      <c r="F5" s="17"/>
      <c r="H5" s="116"/>
      <c r="I5" s="117"/>
      <c r="J5" s="118"/>
      <c r="K5" s="118"/>
      <c r="L5" s="119"/>
      <c r="M5" s="16"/>
      <c r="N5" s="16"/>
      <c r="O5" s="17"/>
    </row>
    <row r="6" spans="1:17" ht="15.75">
      <c r="A6" s="139" t="s">
        <v>15</v>
      </c>
      <c r="B6" s="140"/>
      <c r="C6" s="140"/>
      <c r="D6" s="12"/>
      <c r="E6" s="3"/>
      <c r="F6" s="8"/>
      <c r="H6" s="23" t="s">
        <v>106</v>
      </c>
      <c r="I6" s="3"/>
      <c r="J6" s="3"/>
      <c r="K6" s="3"/>
      <c r="L6" s="3"/>
      <c r="M6" s="3"/>
      <c r="N6" s="3"/>
      <c r="O6" s="8"/>
    </row>
    <row r="7" spans="1:17" ht="15.75">
      <c r="A7" s="124"/>
      <c r="B7" s="12"/>
      <c r="C7" s="12"/>
      <c r="D7" s="12"/>
      <c r="E7" s="3"/>
      <c r="F7" s="8"/>
      <c r="H7" s="23"/>
      <c r="I7" s="3"/>
      <c r="J7" s="3"/>
      <c r="K7" s="3"/>
      <c r="L7" s="3"/>
      <c r="M7" s="3"/>
      <c r="N7" s="3"/>
      <c r="O7" s="8"/>
    </row>
    <row r="8" spans="1:17" ht="15.75">
      <c r="A8" s="139" t="s">
        <v>14</v>
      </c>
      <c r="B8" s="140"/>
      <c r="C8" s="140"/>
      <c r="D8" s="12"/>
      <c r="E8" s="3"/>
      <c r="F8" s="8"/>
      <c r="H8" s="23" t="s">
        <v>98</v>
      </c>
      <c r="I8" s="3"/>
      <c r="J8" s="3"/>
      <c r="K8" s="126">
        <v>9</v>
      </c>
      <c r="L8" s="3" t="s">
        <v>67</v>
      </c>
      <c r="M8" s="3"/>
      <c r="N8" s="120"/>
      <c r="O8" s="8"/>
    </row>
    <row r="9" spans="1:17" ht="15.75">
      <c r="A9" s="124"/>
      <c r="B9" s="12"/>
      <c r="C9" s="12"/>
      <c r="D9" s="12"/>
      <c r="E9" s="3"/>
      <c r="F9" s="8"/>
      <c r="H9" s="23"/>
      <c r="I9" s="3"/>
      <c r="J9" s="3"/>
      <c r="K9" s="127"/>
      <c r="L9" s="3"/>
      <c r="M9" s="3"/>
      <c r="N9" s="3"/>
      <c r="O9" s="8"/>
    </row>
    <row r="10" spans="1:17" ht="15.75">
      <c r="A10" s="139" t="s">
        <v>84</v>
      </c>
      <c r="B10" s="140"/>
      <c r="C10" s="140"/>
      <c r="D10" s="12"/>
      <c r="E10" s="3"/>
      <c r="F10" s="8"/>
      <c r="H10" s="23" t="s">
        <v>113</v>
      </c>
      <c r="I10" s="3"/>
      <c r="J10" s="3"/>
      <c r="K10" s="128"/>
      <c r="L10" s="126">
        <v>23</v>
      </c>
      <c r="M10" s="3" t="s">
        <v>67</v>
      </c>
      <c r="N10" s="3"/>
      <c r="O10" s="8"/>
    </row>
    <row r="11" spans="1:17" ht="15.75">
      <c r="A11" s="23"/>
      <c r="B11" s="3"/>
      <c r="C11" s="3"/>
      <c r="D11" s="3"/>
      <c r="E11" s="3"/>
      <c r="F11" s="8"/>
      <c r="H11" s="23" t="s">
        <v>114</v>
      </c>
      <c r="I11" s="3"/>
      <c r="J11" s="3"/>
      <c r="K11" s="128"/>
      <c r="L11" s="126">
        <v>27</v>
      </c>
      <c r="M11" s="3" t="s">
        <v>67</v>
      </c>
      <c r="N11" s="3"/>
      <c r="O11" s="8"/>
    </row>
    <row r="12" spans="1:17" ht="15.75">
      <c r="A12" s="139" t="s">
        <v>85</v>
      </c>
      <c r="B12" s="140"/>
      <c r="C12" s="140"/>
      <c r="D12" s="12"/>
      <c r="E12" s="3"/>
      <c r="F12" s="8"/>
      <c r="H12" s="23" t="s">
        <v>115</v>
      </c>
      <c r="I12" s="3"/>
      <c r="J12" s="3"/>
      <c r="K12" s="128"/>
      <c r="L12" s="126">
        <v>38</v>
      </c>
      <c r="M12" s="3" t="s">
        <v>67</v>
      </c>
      <c r="N12" s="3"/>
      <c r="O12" s="8"/>
    </row>
    <row r="13" spans="1:17" ht="15.75">
      <c r="A13" s="23"/>
      <c r="B13" s="3"/>
      <c r="C13" s="3"/>
      <c r="D13" s="3"/>
      <c r="E13" s="3"/>
      <c r="F13" s="8"/>
      <c r="H13" s="23" t="s">
        <v>116</v>
      </c>
      <c r="I13" s="3"/>
      <c r="J13" s="3"/>
      <c r="K13" s="128"/>
      <c r="L13" s="126">
        <v>41</v>
      </c>
      <c r="M13" s="3" t="s">
        <v>67</v>
      </c>
      <c r="N13" s="3"/>
      <c r="O13" s="8"/>
    </row>
    <row r="14" spans="1:17" ht="15.75">
      <c r="A14" s="25"/>
      <c r="B14" s="26"/>
      <c r="C14" s="26"/>
      <c r="D14" s="3"/>
      <c r="E14" s="3"/>
      <c r="F14" s="8"/>
      <c r="H14" s="23" t="s">
        <v>117</v>
      </c>
      <c r="I14" s="3"/>
      <c r="J14" s="3"/>
      <c r="K14" s="128"/>
      <c r="L14" s="126">
        <v>43</v>
      </c>
      <c r="M14" s="3" t="s">
        <v>67</v>
      </c>
      <c r="N14" s="3"/>
      <c r="O14" s="8"/>
    </row>
    <row r="15" spans="1:17" ht="15.75">
      <c r="A15" s="139" t="s">
        <v>19</v>
      </c>
      <c r="B15" s="140"/>
      <c r="C15" s="140"/>
      <c r="D15" s="3"/>
      <c r="E15" s="3"/>
      <c r="F15" s="8"/>
      <c r="H15" s="23"/>
      <c r="I15" s="3"/>
      <c r="J15" s="3"/>
      <c r="K15" s="3"/>
      <c r="L15" s="3"/>
      <c r="M15" s="3"/>
      <c r="N15" s="3"/>
      <c r="O15" s="8"/>
    </row>
    <row r="16" spans="1:17" ht="15.75">
      <c r="A16" s="23"/>
      <c r="B16" s="3"/>
      <c r="C16" s="3"/>
      <c r="D16" s="3"/>
      <c r="E16" s="3"/>
      <c r="F16" s="8"/>
      <c r="H16" s="122" t="s">
        <v>107</v>
      </c>
      <c r="I16" s="3"/>
      <c r="J16" s="3"/>
      <c r="K16" s="126">
        <v>3.9</v>
      </c>
      <c r="L16" s="3" t="s">
        <v>67</v>
      </c>
      <c r="M16" s="3"/>
      <c r="N16" s="3"/>
      <c r="O16" s="8"/>
    </row>
    <row r="17" spans="1:19" ht="22.5" customHeight="1" thickBot="1">
      <c r="A17" s="30"/>
      <c r="B17" s="20"/>
      <c r="C17" s="20"/>
      <c r="D17" s="20"/>
      <c r="E17" s="20"/>
      <c r="F17" s="21"/>
      <c r="H17" s="30"/>
      <c r="I17" s="20"/>
      <c r="J17" s="20"/>
      <c r="K17" s="20"/>
      <c r="L17" s="20"/>
      <c r="M17" s="20"/>
      <c r="N17" s="20"/>
      <c r="O17" s="21"/>
    </row>
    <row r="18" spans="1:19" ht="13.5" customHeight="1" thickBot="1"/>
    <row r="19" spans="1:19" ht="15.75" thickBot="1">
      <c r="D19" s="31" t="s">
        <v>23</v>
      </c>
      <c r="E19" s="32" t="s">
        <v>22</v>
      </c>
      <c r="F19" s="33" t="s">
        <v>24</v>
      </c>
      <c r="H19" s="142" t="s">
        <v>112</v>
      </c>
      <c r="I19" s="143"/>
      <c r="J19" s="143"/>
      <c r="K19" s="143"/>
      <c r="L19" s="143"/>
      <c r="M19" s="143"/>
      <c r="N19" s="143"/>
      <c r="O19" s="144"/>
    </row>
    <row r="20" spans="1:19">
      <c r="A20" s="34" t="s">
        <v>20</v>
      </c>
      <c r="B20" s="35"/>
      <c r="C20" s="36"/>
      <c r="D20" s="37">
        <f>E20+F20</f>
        <v>215</v>
      </c>
      <c r="E20" s="6">
        <f>'Calcoli Titolo II'!H19+'Calcoli Titolo II'!H29+'Calcoli Titolo II'!H39+'Calcoli Titolo II'!H51+'Calcoli Titolo II'!H65+'Calcoli Titolo II'!N19+'Calcoli Titolo II'!N29+'Calcoli Titolo II'!N39+'Calcoli Titolo II'!N51+'Calcoli Titolo II'!N65</f>
        <v>175</v>
      </c>
      <c r="F20" s="38">
        <f>'Calcoli Titolo II'!R27</f>
        <v>40</v>
      </c>
      <c r="H20" s="145"/>
      <c r="I20" s="146"/>
      <c r="J20" s="146"/>
      <c r="K20" s="146"/>
      <c r="L20" s="146"/>
      <c r="M20" s="146"/>
      <c r="N20" s="146"/>
      <c r="O20" s="147"/>
    </row>
    <row r="21" spans="1:19" ht="15.75" thickBot="1">
      <c r="A21" s="42" t="s">
        <v>21</v>
      </c>
      <c r="B21" s="43"/>
      <c r="C21" s="44"/>
      <c r="D21" s="45">
        <f>E21+F21</f>
        <v>133</v>
      </c>
      <c r="E21" s="46">
        <f>'Calcoli Titolo II'!I19+'Calcoli Titolo II'!I29+'Calcoli Titolo II'!I39+'Calcoli Titolo II'!I51+'Calcoli Titolo II'!I65+'Calcoli Titolo II'!O19+'Calcoli Titolo II'!O29+'Calcoli Titolo II'!O39+'Calcoli Titolo II'!O51+'Calcoli Titolo II'!O65</f>
        <v>93</v>
      </c>
      <c r="F21" s="47">
        <f>'Calcoli Titolo II'!R27</f>
        <v>40</v>
      </c>
    </row>
    <row r="22" spans="1:19" ht="12.75" customHeight="1">
      <c r="A22" s="50"/>
      <c r="B22" s="3"/>
      <c r="C22" s="3"/>
      <c r="D22" s="51"/>
      <c r="E22" s="6"/>
      <c r="F22" s="6"/>
      <c r="S22" s="121"/>
    </row>
    <row r="23" spans="1:19" ht="12.7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7"/>
      <c r="S23" s="121"/>
    </row>
    <row r="24" spans="1:19" s="53" customFormat="1" ht="22.5" customHeight="1">
      <c r="A24" s="88" t="s">
        <v>37</v>
      </c>
      <c r="B24" s="1"/>
      <c r="C24" s="131">
        <v>1150</v>
      </c>
      <c r="D24" s="52" t="s">
        <v>71</v>
      </c>
      <c r="E24" s="82"/>
      <c r="F24" s="113" t="s">
        <v>26</v>
      </c>
      <c r="G24" s="112"/>
      <c r="H24" s="82"/>
      <c r="I24" s="82"/>
      <c r="J24" s="61"/>
      <c r="K24" s="89"/>
    </row>
    <row r="25" spans="1:19" s="57" customFormat="1" ht="15.75">
      <c r="A25" s="90" t="s">
        <v>27</v>
      </c>
      <c r="B25" s="12"/>
      <c r="C25" s="132">
        <f>$C$3*C24</f>
        <v>55200</v>
      </c>
      <c r="D25" s="101" t="s">
        <v>25</v>
      </c>
      <c r="E25" s="12"/>
      <c r="F25" s="12"/>
      <c r="G25" s="12"/>
      <c r="H25" s="12"/>
      <c r="I25" s="12"/>
      <c r="J25" s="12"/>
      <c r="K25" s="91"/>
    </row>
    <row r="26" spans="1:19" s="57" customFormat="1" ht="15.75">
      <c r="A26" s="90" t="s">
        <v>28</v>
      </c>
      <c r="B26" s="12"/>
      <c r="C26" s="131">
        <v>38000</v>
      </c>
      <c r="D26" s="101" t="s">
        <v>25</v>
      </c>
      <c r="E26" s="108" t="s">
        <v>87</v>
      </c>
      <c r="F26" s="108"/>
      <c r="G26" s="108"/>
      <c r="H26" s="108"/>
      <c r="I26" s="101"/>
      <c r="J26" s="12"/>
      <c r="K26" s="91"/>
    </row>
    <row r="27" spans="1:19" s="57" customFormat="1" ht="15.75">
      <c r="A27" s="90"/>
      <c r="B27" s="12"/>
      <c r="C27" s="133"/>
      <c r="D27" s="125"/>
      <c r="E27" s="125"/>
      <c r="F27" s="125"/>
      <c r="G27" s="125"/>
      <c r="H27" s="125"/>
      <c r="I27" s="125"/>
      <c r="J27" s="12"/>
      <c r="K27" s="91"/>
    </row>
    <row r="28" spans="1:19" s="53" customFormat="1" ht="22.5" customHeight="1">
      <c r="A28" s="88" t="s">
        <v>29</v>
      </c>
      <c r="B28" s="1"/>
      <c r="C28" s="134">
        <f>IF('Calcoli Titolo II'!Q49=1,C26/100*'Calcoli Titolo II'!$S$41,0)</f>
        <v>26600</v>
      </c>
      <c r="D28" s="52" t="s">
        <v>25</v>
      </c>
      <c r="E28" s="61" t="s">
        <v>36</v>
      </c>
      <c r="F28" s="61"/>
      <c r="G28" s="61"/>
      <c r="H28" s="61"/>
      <c r="I28" s="52"/>
      <c r="J28" s="61"/>
      <c r="K28" s="89"/>
    </row>
    <row r="29" spans="1:19" s="57" customFormat="1" ht="15.75">
      <c r="A29" s="92" t="s">
        <v>30</v>
      </c>
      <c r="B29" s="62"/>
      <c r="C29" s="132">
        <f>IF('Calcoli Titolo II'!Q49=1,C25-C28,C25)</f>
        <v>28600</v>
      </c>
      <c r="D29" s="101" t="s">
        <v>25</v>
      </c>
      <c r="E29" s="62"/>
      <c r="F29" s="62"/>
      <c r="G29" s="62"/>
      <c r="H29" s="62"/>
      <c r="I29" s="62"/>
      <c r="J29" s="62"/>
      <c r="K29" s="91"/>
    </row>
    <row r="30" spans="1:19" s="57" customFormat="1" ht="15.75">
      <c r="A30" s="92" t="s">
        <v>31</v>
      </c>
      <c r="B30" s="12"/>
      <c r="C30" s="132">
        <f>IF('Calcoli Titolo II'!Q49=1,C26-C28,0)</f>
        <v>11400</v>
      </c>
      <c r="D30" s="101" t="s">
        <v>25</v>
      </c>
      <c r="E30" s="12"/>
      <c r="F30" s="12"/>
      <c r="G30" s="12"/>
      <c r="H30" s="12"/>
      <c r="I30" s="12"/>
      <c r="J30" s="12"/>
      <c r="K30" s="91"/>
    </row>
    <row r="31" spans="1:19" s="57" customFormat="1" ht="15.75">
      <c r="A31" s="92"/>
      <c r="B31" s="12"/>
      <c r="C31" s="127"/>
      <c r="D31" s="101"/>
      <c r="E31" s="12"/>
      <c r="F31" s="12"/>
      <c r="G31" s="12"/>
      <c r="H31" s="12"/>
      <c r="I31" s="12"/>
      <c r="J31" s="12"/>
      <c r="K31" s="91"/>
    </row>
    <row r="32" spans="1:19" s="57" customFormat="1" ht="15.75">
      <c r="A32" s="92" t="s">
        <v>32</v>
      </c>
      <c r="B32" s="12"/>
      <c r="C32" s="131">
        <v>1950</v>
      </c>
      <c r="D32" s="101" t="s">
        <v>33</v>
      </c>
      <c r="E32" s="83" t="s">
        <v>69</v>
      </c>
      <c r="F32" s="84"/>
      <c r="G32" s="141">
        <f>C32*C3</f>
        <v>93600</v>
      </c>
      <c r="H32" s="141"/>
      <c r="I32" s="12"/>
      <c r="J32" s="12"/>
      <c r="K32" s="91"/>
    </row>
    <row r="33" spans="1:24" s="57" customFormat="1" ht="15.75">
      <c r="A33" s="92" t="s">
        <v>34</v>
      </c>
      <c r="B33" s="12"/>
      <c r="C33" s="131">
        <v>150</v>
      </c>
      <c r="D33" s="101" t="s">
        <v>33</v>
      </c>
      <c r="E33" s="12"/>
      <c r="F33" s="12"/>
      <c r="G33" s="12"/>
      <c r="H33" s="12"/>
      <c r="I33" s="12"/>
      <c r="J33" s="12"/>
      <c r="K33" s="91"/>
    </row>
    <row r="34" spans="1:24" s="57" customFormat="1" ht="15.75">
      <c r="A34" s="92" t="s">
        <v>95</v>
      </c>
      <c r="B34" s="12"/>
      <c r="C34" s="135">
        <v>2</v>
      </c>
      <c r="D34" s="101" t="s">
        <v>67</v>
      </c>
      <c r="E34" s="12"/>
      <c r="F34" s="12"/>
      <c r="G34" s="12"/>
      <c r="H34" s="12"/>
      <c r="I34" s="12"/>
      <c r="J34" s="12"/>
      <c r="K34" s="91"/>
    </row>
    <row r="35" spans="1:24" s="57" customFormat="1" ht="15.75">
      <c r="A35" s="92" t="s">
        <v>88</v>
      </c>
      <c r="B35" s="12"/>
      <c r="C35" s="136">
        <f>IF(C3&lt;20,C3*3,60+((C3-20)*2))</f>
        <v>116</v>
      </c>
      <c r="D35" s="101" t="s">
        <v>33</v>
      </c>
      <c r="E35" s="12"/>
      <c r="F35" s="12"/>
      <c r="G35" s="12"/>
      <c r="H35" s="12"/>
      <c r="I35" s="12"/>
      <c r="J35" s="12"/>
      <c r="K35" s="91"/>
    </row>
    <row r="36" spans="1:24" s="57" customFormat="1" ht="15.75">
      <c r="A36" s="92" t="s">
        <v>89</v>
      </c>
      <c r="B36" s="12"/>
      <c r="C36" s="137">
        <f>0.0005*C25</f>
        <v>27.6</v>
      </c>
      <c r="D36" s="101" t="s">
        <v>33</v>
      </c>
      <c r="E36" s="12"/>
      <c r="F36" s="12"/>
      <c r="G36" s="12"/>
      <c r="H36" s="12"/>
      <c r="I36" s="12"/>
      <c r="J36" s="12"/>
      <c r="K36" s="91"/>
    </row>
    <row r="37" spans="1:24" s="57" customFormat="1" ht="15.75">
      <c r="A37" s="92" t="s">
        <v>91</v>
      </c>
      <c r="B37" s="12"/>
      <c r="C37" s="131">
        <v>1500</v>
      </c>
      <c r="D37" s="101" t="s">
        <v>33</v>
      </c>
      <c r="E37" s="62" t="s">
        <v>92</v>
      </c>
      <c r="F37" s="12"/>
      <c r="G37" s="12"/>
      <c r="H37" s="12"/>
      <c r="I37" s="12"/>
      <c r="J37" s="12"/>
      <c r="K37" s="91"/>
    </row>
    <row r="38" spans="1:24" s="57" customFormat="1" ht="15.75">
      <c r="A38" s="92" t="s">
        <v>38</v>
      </c>
      <c r="B38" s="12"/>
      <c r="C38" s="131">
        <v>100</v>
      </c>
      <c r="D38" s="101" t="s">
        <v>33</v>
      </c>
      <c r="E38" s="12"/>
      <c r="F38" s="12"/>
      <c r="G38" s="12"/>
      <c r="H38" s="12"/>
      <c r="I38" s="12"/>
      <c r="J38" s="12"/>
      <c r="K38" s="91"/>
    </row>
    <row r="39" spans="1:24" s="57" customFormat="1" ht="15.75">
      <c r="A39" s="92" t="s">
        <v>35</v>
      </c>
      <c r="B39" s="12"/>
      <c r="C39" s="138">
        <v>0.18</v>
      </c>
      <c r="D39" s="101" t="s">
        <v>33</v>
      </c>
      <c r="E39" s="12"/>
      <c r="F39" s="12"/>
      <c r="G39" s="12"/>
      <c r="H39" s="12"/>
      <c r="I39" s="12"/>
      <c r="J39" s="12"/>
      <c r="K39" s="91"/>
    </row>
    <row r="40" spans="1:24" s="57" customFormat="1" ht="15.75">
      <c r="A40" s="92" t="s">
        <v>93</v>
      </c>
      <c r="B40" s="12"/>
      <c r="C40" s="135">
        <v>0.9</v>
      </c>
      <c r="D40" s="101" t="s">
        <v>67</v>
      </c>
      <c r="E40" s="62" t="s">
        <v>94</v>
      </c>
      <c r="F40" s="12"/>
      <c r="G40" s="12"/>
      <c r="H40" s="12"/>
      <c r="I40" s="12"/>
      <c r="J40" s="12"/>
      <c r="K40" s="91"/>
    </row>
    <row r="41" spans="1:24" s="57" customFormat="1" ht="15.75">
      <c r="A41" s="92" t="s">
        <v>68</v>
      </c>
      <c r="B41" s="12"/>
      <c r="C41" s="135">
        <v>6</v>
      </c>
      <c r="D41" s="101" t="s">
        <v>67</v>
      </c>
      <c r="E41" s="62" t="s">
        <v>96</v>
      </c>
      <c r="F41" s="12"/>
      <c r="G41" s="12"/>
      <c r="H41" s="12"/>
      <c r="I41" s="12"/>
      <c r="J41" s="12"/>
      <c r="K41" s="91"/>
    </row>
    <row r="42" spans="1:24" s="57" customFormat="1" ht="9" customHeight="1">
      <c r="A42" s="93"/>
      <c r="B42" s="94"/>
      <c r="C42" s="110"/>
      <c r="D42" s="95"/>
      <c r="E42" s="109"/>
      <c r="F42" s="94"/>
      <c r="G42" s="94"/>
      <c r="H42" s="94"/>
      <c r="I42" s="94"/>
      <c r="J42" s="94"/>
      <c r="K42" s="96"/>
    </row>
    <row r="44" spans="1:24">
      <c r="A44" s="69"/>
      <c r="B44" s="69"/>
      <c r="C44" s="69"/>
      <c r="D44" s="69"/>
      <c r="E44" s="72" t="s">
        <v>45</v>
      </c>
      <c r="F44" s="72" t="s">
        <v>48</v>
      </c>
      <c r="G44" s="72" t="s">
        <v>49</v>
      </c>
      <c r="H44" s="72" t="s">
        <v>50</v>
      </c>
      <c r="I44" s="72" t="s">
        <v>51</v>
      </c>
      <c r="J44" s="72" t="s">
        <v>52</v>
      </c>
      <c r="K44" s="72" t="s">
        <v>53</v>
      </c>
      <c r="L44" s="72" t="s">
        <v>54</v>
      </c>
      <c r="M44" s="72" t="s">
        <v>55</v>
      </c>
      <c r="N44" s="72" t="s">
        <v>56</v>
      </c>
      <c r="O44" s="72" t="s">
        <v>57</v>
      </c>
      <c r="P44" s="72" t="s">
        <v>58</v>
      </c>
      <c r="Q44" s="72" t="s">
        <v>59</v>
      </c>
      <c r="R44" s="72" t="s">
        <v>60</v>
      </c>
      <c r="S44" s="72" t="s">
        <v>61</v>
      </c>
      <c r="T44" s="72" t="s">
        <v>62</v>
      </c>
      <c r="U44" s="72" t="s">
        <v>63</v>
      </c>
      <c r="V44" s="72" t="s">
        <v>64</v>
      </c>
      <c r="W44" s="72" t="s">
        <v>65</v>
      </c>
      <c r="X44" s="72" t="s">
        <v>66</v>
      </c>
    </row>
    <row r="45" spans="1:24">
      <c r="A45" s="69"/>
      <c r="B45" s="69"/>
      <c r="C45" s="69"/>
      <c r="D45" s="69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ht="15.75">
      <c r="A46" s="71" t="s">
        <v>118</v>
      </c>
      <c r="B46" s="69"/>
      <c r="C46" s="69"/>
      <c r="D46" s="69"/>
      <c r="E46" s="74">
        <f>C25</f>
        <v>55200</v>
      </c>
      <c r="F46" s="74">
        <f t="shared" ref="F46:X46" si="0">E46/100*(100-$C$40)</f>
        <v>54703.199999999997</v>
      </c>
      <c r="G46" s="74">
        <f t="shared" si="0"/>
        <v>54210.871199999987</v>
      </c>
      <c r="H46" s="74">
        <f>G46/100*(100-$C$40)</f>
        <v>53722.973359199983</v>
      </c>
      <c r="I46" s="74">
        <f t="shared" si="0"/>
        <v>53239.466598967178</v>
      </c>
      <c r="J46" s="74">
        <f t="shared" si="0"/>
        <v>52760.311399576472</v>
      </c>
      <c r="K46" s="74">
        <f t="shared" si="0"/>
        <v>52285.468596980281</v>
      </c>
      <c r="L46" s="74">
        <f t="shared" si="0"/>
        <v>51814.899379607457</v>
      </c>
      <c r="M46" s="74">
        <f t="shared" si="0"/>
        <v>51348.565285190991</v>
      </c>
      <c r="N46" s="74">
        <f t="shared" si="0"/>
        <v>50886.428197624264</v>
      </c>
      <c r="O46" s="74">
        <f t="shared" si="0"/>
        <v>50428.450343845645</v>
      </c>
      <c r="P46" s="74">
        <f t="shared" si="0"/>
        <v>49974.594290751033</v>
      </c>
      <c r="Q46" s="74">
        <f t="shared" si="0"/>
        <v>49524.822942134269</v>
      </c>
      <c r="R46" s="74">
        <f t="shared" si="0"/>
        <v>49079.099535655056</v>
      </c>
      <c r="S46" s="74">
        <f t="shared" si="0"/>
        <v>48637.38763983416</v>
      </c>
      <c r="T46" s="74">
        <f t="shared" si="0"/>
        <v>48199.651151075654</v>
      </c>
      <c r="U46" s="74">
        <f t="shared" si="0"/>
        <v>47765.854290715972</v>
      </c>
      <c r="V46" s="74">
        <f t="shared" si="0"/>
        <v>47335.961602099524</v>
      </c>
      <c r="W46" s="74">
        <f t="shared" si="0"/>
        <v>46909.937947680628</v>
      </c>
      <c r="X46" s="74">
        <f t="shared" si="0"/>
        <v>46487.748506151504</v>
      </c>
    </row>
    <row r="47" spans="1:24" ht="15.75">
      <c r="A47" s="71" t="s">
        <v>29</v>
      </c>
      <c r="B47" s="69"/>
      <c r="C47" s="69"/>
      <c r="D47" s="69"/>
      <c r="E47" s="74">
        <f>$C$28</f>
        <v>26600</v>
      </c>
      <c r="F47" s="74">
        <f t="shared" ref="F47:X47" si="1">E47+(E47/100*$C$34)</f>
        <v>27132</v>
      </c>
      <c r="G47" s="74">
        <f t="shared" si="1"/>
        <v>27674.639999999999</v>
      </c>
      <c r="H47" s="74">
        <f>G47+(G47/100*$C$34)</f>
        <v>28228.132799999999</v>
      </c>
      <c r="I47" s="74">
        <f t="shared" si="1"/>
        <v>28792.695455999998</v>
      </c>
      <c r="J47" s="74">
        <f t="shared" si="1"/>
        <v>29368.549365119998</v>
      </c>
      <c r="K47" s="74">
        <f t="shared" si="1"/>
        <v>29955.920352422399</v>
      </c>
      <c r="L47" s="74">
        <f t="shared" si="1"/>
        <v>30555.038759470848</v>
      </c>
      <c r="M47" s="74">
        <f t="shared" si="1"/>
        <v>31166.139534660266</v>
      </c>
      <c r="N47" s="74">
        <f t="shared" si="1"/>
        <v>31789.46232535347</v>
      </c>
      <c r="O47" s="74">
        <f t="shared" si="1"/>
        <v>32425.251571860539</v>
      </c>
      <c r="P47" s="74">
        <f t="shared" si="1"/>
        <v>33073.756603297748</v>
      </c>
      <c r="Q47" s="74">
        <f t="shared" si="1"/>
        <v>33735.231735363705</v>
      </c>
      <c r="R47" s="74">
        <f t="shared" si="1"/>
        <v>34409.93637007098</v>
      </c>
      <c r="S47" s="74">
        <f t="shared" si="1"/>
        <v>35098.135097472397</v>
      </c>
      <c r="T47" s="74">
        <f t="shared" si="1"/>
        <v>35800.097799421848</v>
      </c>
      <c r="U47" s="74">
        <f t="shared" si="1"/>
        <v>36516.099755410287</v>
      </c>
      <c r="V47" s="74">
        <f t="shared" si="1"/>
        <v>37246.421750518493</v>
      </c>
      <c r="W47" s="74">
        <f t="shared" si="1"/>
        <v>37991.350185528863</v>
      </c>
      <c r="X47" s="74">
        <f t="shared" si="1"/>
        <v>38751.177189239439</v>
      </c>
    </row>
    <row r="48" spans="1:24" ht="15.75">
      <c r="A48" s="71" t="s">
        <v>39</v>
      </c>
      <c r="B48" s="69"/>
      <c r="C48" s="69"/>
      <c r="D48" s="69"/>
      <c r="E48" s="74">
        <f>E46-E47</f>
        <v>28600</v>
      </c>
      <c r="F48" s="74">
        <f t="shared" ref="F48:X48" si="2">F46-F47</f>
        <v>27571.199999999997</v>
      </c>
      <c r="G48" s="74">
        <f t="shared" si="2"/>
        <v>26536.231199999987</v>
      </c>
      <c r="H48" s="74">
        <f t="shared" si="2"/>
        <v>25494.840559199984</v>
      </c>
      <c r="I48" s="74">
        <f t="shared" si="2"/>
        <v>24446.77114296718</v>
      </c>
      <c r="J48" s="74">
        <f t="shared" si="2"/>
        <v>23391.762034456475</v>
      </c>
      <c r="K48" s="74">
        <f t="shared" si="2"/>
        <v>22329.548244557882</v>
      </c>
      <c r="L48" s="74">
        <f t="shared" si="2"/>
        <v>21259.860620136609</v>
      </c>
      <c r="M48" s="74">
        <f t="shared" si="2"/>
        <v>20182.425750530725</v>
      </c>
      <c r="N48" s="74">
        <f t="shared" si="2"/>
        <v>19096.965872270794</v>
      </c>
      <c r="O48" s="74">
        <f t="shared" si="2"/>
        <v>18003.198771985106</v>
      </c>
      <c r="P48" s="74">
        <f t="shared" si="2"/>
        <v>16900.837687453284</v>
      </c>
      <c r="Q48" s="74">
        <f t="shared" si="2"/>
        <v>15789.591206770565</v>
      </c>
      <c r="R48" s="74">
        <f t="shared" si="2"/>
        <v>14669.163165584076</v>
      </c>
      <c r="S48" s="74">
        <f t="shared" si="2"/>
        <v>13539.252542361763</v>
      </c>
      <c r="T48" s="74">
        <f t="shared" si="2"/>
        <v>12399.553351653805</v>
      </c>
      <c r="U48" s="74">
        <f t="shared" si="2"/>
        <v>11249.754535305685</v>
      </c>
      <c r="V48" s="74">
        <f t="shared" si="2"/>
        <v>10089.53985158103</v>
      </c>
      <c r="W48" s="74">
        <f t="shared" si="2"/>
        <v>8918.5877621517648</v>
      </c>
      <c r="X48" s="74">
        <f t="shared" si="2"/>
        <v>7736.5713169120645</v>
      </c>
    </row>
    <row r="49" spans="1:25" ht="11.25" customHeight="1">
      <c r="A49" s="71"/>
      <c r="B49" s="69"/>
      <c r="C49" s="69"/>
      <c r="D49" s="69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 spans="1:25" ht="15.75">
      <c r="A50" s="71" t="s">
        <v>40</v>
      </c>
      <c r="B50" s="69"/>
      <c r="C50" s="69"/>
      <c r="D50" s="69"/>
      <c r="E50" s="75">
        <f>$D$20*E48/1000</f>
        <v>6149</v>
      </c>
      <c r="F50" s="75">
        <f t="shared" ref="F50:X50" si="3">$D$20*F48/1000</f>
        <v>5927.8079999999991</v>
      </c>
      <c r="G50" s="75">
        <f t="shared" si="3"/>
        <v>5705.2897079999966</v>
      </c>
      <c r="H50" s="75">
        <f t="shared" si="3"/>
        <v>5481.390720227997</v>
      </c>
      <c r="I50" s="75">
        <f t="shared" si="3"/>
        <v>5256.0557957379433</v>
      </c>
      <c r="J50" s="75">
        <f t="shared" si="3"/>
        <v>5029.2288374081418</v>
      </c>
      <c r="K50" s="75">
        <f t="shared" si="3"/>
        <v>4800.8528725799442</v>
      </c>
      <c r="L50" s="75">
        <f t="shared" si="3"/>
        <v>4570.8700333293709</v>
      </c>
      <c r="M50" s="75">
        <f t="shared" si="3"/>
        <v>4339.2215363641053</v>
      </c>
      <c r="N50" s="75">
        <f t="shared" si="3"/>
        <v>4105.8476625382209</v>
      </c>
      <c r="O50" s="75">
        <f t="shared" si="3"/>
        <v>3870.6877359767977</v>
      </c>
      <c r="P50" s="75">
        <f t="shared" si="3"/>
        <v>3633.6801028024561</v>
      </c>
      <c r="Q50" s="75">
        <f t="shared" si="3"/>
        <v>3394.7621094556716</v>
      </c>
      <c r="R50" s="75">
        <f t="shared" si="3"/>
        <v>3153.8700806005763</v>
      </c>
      <c r="S50" s="75">
        <f t="shared" si="3"/>
        <v>2910.9392966077789</v>
      </c>
      <c r="T50" s="75">
        <f t="shared" si="3"/>
        <v>2665.9039706055682</v>
      </c>
      <c r="U50" s="75">
        <f t="shared" si="3"/>
        <v>2418.697225090722</v>
      </c>
      <c r="V50" s="75">
        <f t="shared" si="3"/>
        <v>2169.2510680899213</v>
      </c>
      <c r="W50" s="75">
        <f t="shared" si="3"/>
        <v>1917.4963688626294</v>
      </c>
      <c r="X50" s="75">
        <f t="shared" si="3"/>
        <v>1663.3628331360937</v>
      </c>
    </row>
    <row r="51" spans="1:25" ht="15.75">
      <c r="A51" s="71" t="s">
        <v>41</v>
      </c>
      <c r="B51" s="69"/>
      <c r="C51" s="69"/>
      <c r="D51" s="69"/>
      <c r="E51" s="75">
        <f>$D$21*E47/1000</f>
        <v>3537.8</v>
      </c>
      <c r="F51" s="75">
        <f t="shared" ref="F51:X51" si="4">$D$21*F47/1000</f>
        <v>3608.556</v>
      </c>
      <c r="G51" s="75">
        <f t="shared" si="4"/>
        <v>3680.72712</v>
      </c>
      <c r="H51" s="75">
        <f t="shared" si="4"/>
        <v>3754.3416623999997</v>
      </c>
      <c r="I51" s="75">
        <f t="shared" si="4"/>
        <v>3829.4284956479996</v>
      </c>
      <c r="J51" s="75">
        <f t="shared" si="4"/>
        <v>3906.01706556096</v>
      </c>
      <c r="K51" s="75">
        <f t="shared" si="4"/>
        <v>3984.1374068721793</v>
      </c>
      <c r="L51" s="75">
        <f t="shared" si="4"/>
        <v>4063.8201550096228</v>
      </c>
      <c r="M51" s="75">
        <f t="shared" si="4"/>
        <v>4145.0965581098153</v>
      </c>
      <c r="N51" s="75">
        <f t="shared" si="4"/>
        <v>4227.9984892720113</v>
      </c>
      <c r="O51" s="75">
        <f t="shared" si="4"/>
        <v>4312.5584590574517</v>
      </c>
      <c r="P51" s="75">
        <f t="shared" si="4"/>
        <v>4398.8096282386005</v>
      </c>
      <c r="Q51" s="75">
        <f t="shared" si="4"/>
        <v>4486.7858208033731</v>
      </c>
      <c r="R51" s="75">
        <f t="shared" si="4"/>
        <v>4576.5215372194407</v>
      </c>
      <c r="S51" s="75">
        <f t="shared" si="4"/>
        <v>4668.0519679638292</v>
      </c>
      <c r="T51" s="75">
        <f t="shared" si="4"/>
        <v>4761.4130073231054</v>
      </c>
      <c r="U51" s="75">
        <f t="shared" si="4"/>
        <v>4856.6412674695684</v>
      </c>
      <c r="V51" s="75">
        <f t="shared" si="4"/>
        <v>4953.7740928189596</v>
      </c>
      <c r="W51" s="75">
        <f t="shared" si="4"/>
        <v>5052.8495746753388</v>
      </c>
      <c r="X51" s="75">
        <f t="shared" si="4"/>
        <v>5153.9065661688455</v>
      </c>
    </row>
    <row r="52" spans="1:25" ht="15.75">
      <c r="A52" s="71" t="s">
        <v>42</v>
      </c>
      <c r="B52" s="69"/>
      <c r="C52" s="69"/>
      <c r="D52" s="69"/>
      <c r="E52" s="75">
        <f>E47*C39</f>
        <v>4788</v>
      </c>
      <c r="F52" s="75">
        <f t="shared" ref="F52:X52" si="5">($C$39*F47)+(($C$39*F47)/100*$C$41)</f>
        <v>5176.7856000000002</v>
      </c>
      <c r="G52" s="75">
        <f t="shared" si="5"/>
        <v>5280.321312</v>
      </c>
      <c r="H52" s="75">
        <f t="shared" si="5"/>
        <v>5385.9277382399996</v>
      </c>
      <c r="I52" s="75">
        <f t="shared" si="5"/>
        <v>5493.6462930047992</v>
      </c>
      <c r="J52" s="75">
        <f t="shared" si="5"/>
        <v>5603.5192188648953</v>
      </c>
      <c r="K52" s="75">
        <f t="shared" si="5"/>
        <v>5715.5896032421942</v>
      </c>
      <c r="L52" s="75">
        <f t="shared" si="5"/>
        <v>5829.9013953070371</v>
      </c>
      <c r="M52" s="75">
        <f t="shared" si="5"/>
        <v>5946.4994232131785</v>
      </c>
      <c r="N52" s="75">
        <f t="shared" si="5"/>
        <v>6065.4294116774417</v>
      </c>
      <c r="O52" s="75">
        <f t="shared" si="5"/>
        <v>6186.7379999109908</v>
      </c>
      <c r="P52" s="75">
        <f t="shared" si="5"/>
        <v>6310.4727599092103</v>
      </c>
      <c r="Q52" s="75">
        <f t="shared" si="5"/>
        <v>6436.6822151073939</v>
      </c>
      <c r="R52" s="75">
        <f t="shared" si="5"/>
        <v>6565.4158594095434</v>
      </c>
      <c r="S52" s="75">
        <f t="shared" si="5"/>
        <v>6696.7241765977333</v>
      </c>
      <c r="T52" s="75">
        <f t="shared" si="5"/>
        <v>6830.6586601296885</v>
      </c>
      <c r="U52" s="75">
        <f t="shared" si="5"/>
        <v>6967.2718333322828</v>
      </c>
      <c r="V52" s="75">
        <f t="shared" si="5"/>
        <v>7106.6172699989284</v>
      </c>
      <c r="W52" s="75">
        <f t="shared" si="5"/>
        <v>7248.7496153989068</v>
      </c>
      <c r="X52" s="75">
        <f t="shared" si="5"/>
        <v>7393.7246077068849</v>
      </c>
    </row>
    <row r="53" spans="1:25" ht="15.75">
      <c r="A53" s="71" t="s">
        <v>43</v>
      </c>
      <c r="B53" s="69"/>
      <c r="C53" s="69"/>
      <c r="D53" s="69"/>
      <c r="E53" s="76">
        <f>SUM(E50:E52)</f>
        <v>14474.8</v>
      </c>
      <c r="F53" s="76">
        <f t="shared" ref="F53:X53" si="6">SUM(F50:F52)</f>
        <v>14713.149600000001</v>
      </c>
      <c r="G53" s="76">
        <f t="shared" si="6"/>
        <v>14666.338139999996</v>
      </c>
      <c r="H53" s="76">
        <f t="shared" si="6"/>
        <v>14621.660120867997</v>
      </c>
      <c r="I53" s="76">
        <f t="shared" si="6"/>
        <v>14579.130584390743</v>
      </c>
      <c r="J53" s="76">
        <f t="shared" si="6"/>
        <v>14538.765121833996</v>
      </c>
      <c r="K53" s="76">
        <f t="shared" si="6"/>
        <v>14500.579882694317</v>
      </c>
      <c r="L53" s="76">
        <f t="shared" si="6"/>
        <v>14464.591583646032</v>
      </c>
      <c r="M53" s="76">
        <f t="shared" si="6"/>
        <v>14430.817517687101</v>
      </c>
      <c r="N53" s="76">
        <f t="shared" si="6"/>
        <v>14399.275563487674</v>
      </c>
      <c r="O53" s="76">
        <f t="shared" si="6"/>
        <v>14369.98419494524</v>
      </c>
      <c r="P53" s="76">
        <f t="shared" si="6"/>
        <v>14342.962490950267</v>
      </c>
      <c r="Q53" s="76">
        <f t="shared" si="6"/>
        <v>14318.230145366439</v>
      </c>
      <c r="R53" s="76">
        <f t="shared" si="6"/>
        <v>14295.80747722956</v>
      </c>
      <c r="S53" s="76">
        <f t="shared" si="6"/>
        <v>14275.715441169341</v>
      </c>
      <c r="T53" s="76">
        <f t="shared" si="6"/>
        <v>14257.975638058362</v>
      </c>
      <c r="U53" s="76">
        <f t="shared" si="6"/>
        <v>14242.610325892572</v>
      </c>
      <c r="V53" s="76">
        <f t="shared" si="6"/>
        <v>14229.64243090781</v>
      </c>
      <c r="W53" s="76">
        <f t="shared" si="6"/>
        <v>14219.095558936875</v>
      </c>
      <c r="X53" s="76">
        <f t="shared" si="6"/>
        <v>14210.994007011825</v>
      </c>
    </row>
    <row r="54" spans="1:25" ht="11.25" customHeight="1">
      <c r="A54" s="71"/>
      <c r="B54" s="69"/>
      <c r="C54" s="69"/>
      <c r="D54" s="6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1:25" ht="15.75">
      <c r="A55" s="71" t="s">
        <v>104</v>
      </c>
      <c r="B55" s="69"/>
      <c r="C55" s="69"/>
      <c r="D55" s="69"/>
      <c r="E55" s="75">
        <f>'Calcoli Titolo II'!D85</f>
        <v>4212</v>
      </c>
      <c r="F55" s="75">
        <f>'Calcoli Titolo II'!E85</f>
        <v>8424</v>
      </c>
      <c r="G55" s="75">
        <f>'Calcoli Titolo II'!F85</f>
        <v>8424</v>
      </c>
      <c r="H55" s="75">
        <f>'Calcoli Titolo II'!G85</f>
        <v>8424</v>
      </c>
      <c r="I55" s="75">
        <f>'Calcoli Titolo II'!H85</f>
        <v>8424</v>
      </c>
      <c r="J55" s="75">
        <f>'Calcoli Titolo II'!I85</f>
        <v>8424</v>
      </c>
      <c r="K55" s="75">
        <f>'Calcoli Titolo II'!J85</f>
        <v>8424</v>
      </c>
      <c r="L55" s="75">
        <f>'Calcoli Titolo II'!K85</f>
        <v>8424</v>
      </c>
      <c r="M55" s="75">
        <f>'Calcoli Titolo II'!L85</f>
        <v>8424</v>
      </c>
      <c r="N55" s="75">
        <f>'Calcoli Titolo II'!M85</f>
        <v>8424</v>
      </c>
      <c r="O55" s="75">
        <f>'Calcoli Titolo II'!N85</f>
        <v>8424</v>
      </c>
      <c r="P55" s="75">
        <f>'Calcoli Titolo II'!O85</f>
        <v>5148</v>
      </c>
      <c r="Q55" s="75">
        <f>'Calcoli Titolo II'!P85</f>
        <v>0</v>
      </c>
      <c r="R55" s="75">
        <f>'Calcoli Titolo II'!Q85</f>
        <v>0</v>
      </c>
      <c r="S55" s="75">
        <f>'Calcoli Titolo II'!R85</f>
        <v>0</v>
      </c>
      <c r="T55" s="75">
        <f>'Calcoli Titolo II'!S85</f>
        <v>0</v>
      </c>
      <c r="U55" s="75">
        <f>'Calcoli Titolo II'!T85</f>
        <v>0</v>
      </c>
      <c r="V55" s="75">
        <f>'Calcoli Titolo II'!U85</f>
        <v>0</v>
      </c>
      <c r="W55" s="75">
        <f>'Calcoli Titolo II'!V85</f>
        <v>0</v>
      </c>
      <c r="X55" s="75">
        <f>'Calcoli Titolo II'!W85</f>
        <v>0</v>
      </c>
    </row>
    <row r="56" spans="1:25" ht="15.75">
      <c r="A56" s="71" t="s">
        <v>101</v>
      </c>
      <c r="B56" s="69"/>
      <c r="C56" s="69"/>
      <c r="D56" s="69"/>
      <c r="E56" s="123">
        <f>IF('Calcoli Titolo II'!D67&gt;0,'Calcoli Titolo II'!D67,0)</f>
        <v>5474.7999999999993</v>
      </c>
      <c r="F56" s="123">
        <f>IF('Calcoli Titolo II'!E67&gt;0,'Calcoli Titolo II'!E67,0)</f>
        <v>1112.3639999999996</v>
      </c>
      <c r="G56" s="123">
        <f>IF('Calcoli Titolo II'!F67&gt;0,'Calcoli Titolo II'!F67,0)</f>
        <v>962.01682799999617</v>
      </c>
      <c r="H56" s="123">
        <f>IF('Calcoli Titolo II'!G67&gt;0,'Calcoli Titolo II'!G67,0)</f>
        <v>811.73238262799714</v>
      </c>
      <c r="I56" s="123">
        <f>IF('Calcoli Titolo II'!H67&gt;0,'Calcoli Titolo II'!H67,0)</f>
        <v>661.48429138594292</v>
      </c>
      <c r="J56" s="123">
        <f>IF('Calcoli Titolo II'!I67&gt;0,'Calcoli Titolo II'!I67,0)</f>
        <v>511.24590296910173</v>
      </c>
      <c r="K56" s="123">
        <f>IF('Calcoli Titolo II'!J67&gt;0,'Calcoli Titolo II'!J67,0)</f>
        <v>360.99027945212401</v>
      </c>
      <c r="L56" s="123">
        <f>IF('Calcoli Titolo II'!K67&gt;0,'Calcoli Titolo II'!K67,0)</f>
        <v>210.69018833899463</v>
      </c>
      <c r="M56" s="123">
        <f>IF('Calcoli Titolo II'!L67&gt;0,'Calcoli Titolo II'!L67,0)</f>
        <v>60.318094473921519</v>
      </c>
      <c r="N56" s="123">
        <f>IF('Calcoli Titolo II'!M67&gt;0,'Calcoli Titolo II'!M67,0)</f>
        <v>0</v>
      </c>
      <c r="O56" s="123">
        <f>IF('Calcoli Titolo II'!N67&gt;0,'Calcoli Titolo II'!N67,0)</f>
        <v>0</v>
      </c>
      <c r="P56" s="123">
        <f>IF('Calcoli Titolo II'!O67&gt;0,'Calcoli Titolo II'!O67,0)</f>
        <v>2884.4897310410561</v>
      </c>
      <c r="Q56" s="123">
        <f>IF('Calcoli Titolo II'!P67&gt;0,'Calcoli Titolo II'!P67,0)</f>
        <v>7881.5479302590447</v>
      </c>
      <c r="R56" s="123">
        <f>IF('Calcoli Titolo II'!Q67&gt;0,'Calcoli Titolo II'!Q67,0)</f>
        <v>7730.391617820017</v>
      </c>
      <c r="S56" s="123">
        <f>IF('Calcoli Titolo II'!R67&gt;0,'Calcoli Titolo II'!R67,0)</f>
        <v>7578.9912645716086</v>
      </c>
      <c r="T56" s="123">
        <f>IF('Calcoli Titolo II'!S67&gt;0,'Calcoli Titolo II'!S67,0)</f>
        <v>7427.3169779286736</v>
      </c>
      <c r="U56" s="123">
        <f>IF('Calcoli Titolo II'!T67&gt;0,'Calcoli Titolo II'!T67,0)</f>
        <v>7275.3384925602904</v>
      </c>
      <c r="V56" s="123">
        <f>IF('Calcoli Titolo II'!U67&gt;0,'Calcoli Titolo II'!U67,0)</f>
        <v>7123.0251609088809</v>
      </c>
      <c r="W56" s="123">
        <f>IF('Calcoli Titolo II'!V67&gt;0,'Calcoli Titolo II'!V67,0)</f>
        <v>6970.3459435379682</v>
      </c>
      <c r="X56" s="123">
        <f>IF('Calcoli Titolo II'!W67&gt;0,'Calcoli Titolo II'!W67,0)</f>
        <v>6817.2693993049397</v>
      </c>
    </row>
    <row r="57" spans="1:25" ht="15.75">
      <c r="A57" s="71" t="s">
        <v>102</v>
      </c>
      <c r="B57" s="69"/>
      <c r="C57" s="69"/>
      <c r="D57" s="69"/>
      <c r="E57" s="75">
        <f>'Calcoli Titolo II'!D107</f>
        <v>1259.2039999999997</v>
      </c>
      <c r="F57" s="75">
        <f>'Calcoli Titolo II'!E107</f>
        <v>255.84371999999991</v>
      </c>
      <c r="G57" s="75">
        <f>'Calcoli Titolo II'!F107</f>
        <v>221.26387043999912</v>
      </c>
      <c r="H57" s="75">
        <f>'Calcoli Titolo II'!G107</f>
        <v>186.69844800443934</v>
      </c>
      <c r="I57" s="75">
        <f>'Calcoli Titolo II'!H107</f>
        <v>152.14138701876686</v>
      </c>
      <c r="J57" s="75">
        <f>'Calcoli Titolo II'!I107</f>
        <v>117.58655768289339</v>
      </c>
      <c r="K57" s="75">
        <f>'Calcoli Titolo II'!J107</f>
        <v>83.027764273988524</v>
      </c>
      <c r="L57" s="75">
        <f>'Calcoli Titolo II'!K107</f>
        <v>48.458743317968761</v>
      </c>
      <c r="M57" s="75">
        <f>'Calcoli Titolo II'!L107</f>
        <v>13.87316172900195</v>
      </c>
      <c r="N57" s="75">
        <f>'Calcoli Titolo II'!M107</f>
        <v>0</v>
      </c>
      <c r="O57" s="75">
        <f>'Calcoli Titolo II'!N107</f>
        <v>0</v>
      </c>
      <c r="P57" s="75">
        <f>'Calcoli Titolo II'!O107</f>
        <v>663.43263813944282</v>
      </c>
      <c r="Q57" s="75">
        <f>'Calcoli Titolo II'!P107</f>
        <v>1812.7560239595803</v>
      </c>
      <c r="R57" s="75">
        <f>'Calcoli Titolo II'!Q107</f>
        <v>1777.9900720986038</v>
      </c>
      <c r="S57" s="75">
        <f>'Calcoli Titolo II'!R107</f>
        <v>1743.16799085147</v>
      </c>
      <c r="T57" s="75">
        <f>'Calcoli Titolo II'!S107</f>
        <v>1708.2829049235947</v>
      </c>
      <c r="U57" s="75">
        <f>'Calcoli Titolo II'!T107</f>
        <v>1673.3278532888667</v>
      </c>
      <c r="V57" s="75">
        <f>'Calcoli Titolo II'!U107</f>
        <v>1638.2957870090427</v>
      </c>
      <c r="W57" s="75">
        <f>'Calcoli Titolo II'!V107</f>
        <v>1603.1795670137328</v>
      </c>
      <c r="X57" s="75">
        <f>'Calcoli Titolo II'!W107</f>
        <v>1567.9719618401359</v>
      </c>
    </row>
    <row r="58" spans="1:25" ht="15.75">
      <c r="A58" s="71" t="s">
        <v>103</v>
      </c>
      <c r="B58" s="69"/>
      <c r="C58" s="69"/>
      <c r="D58" s="69"/>
      <c r="E58" s="75">
        <f>E56/100*$K$16</f>
        <v>213.51719999999995</v>
      </c>
      <c r="F58" s="75">
        <f t="shared" ref="F58:X58" si="7">F56/100*$K$16</f>
        <v>43.382195999999986</v>
      </c>
      <c r="G58" s="75">
        <f t="shared" si="7"/>
        <v>37.518656291999854</v>
      </c>
      <c r="H58" s="75">
        <f t="shared" si="7"/>
        <v>31.657562922491888</v>
      </c>
      <c r="I58" s="75">
        <f t="shared" si="7"/>
        <v>25.797887364051775</v>
      </c>
      <c r="J58" s="75">
        <f t="shared" si="7"/>
        <v>19.938590215794967</v>
      </c>
      <c r="K58" s="75">
        <f t="shared" si="7"/>
        <v>14.078620898632837</v>
      </c>
      <c r="L58" s="75">
        <f t="shared" si="7"/>
        <v>8.2169173452207893</v>
      </c>
      <c r="M58" s="75">
        <f t="shared" si="7"/>
        <v>2.3524056844829393</v>
      </c>
      <c r="N58" s="75">
        <f t="shared" si="7"/>
        <v>0</v>
      </c>
      <c r="O58" s="75">
        <f t="shared" si="7"/>
        <v>0</v>
      </c>
      <c r="P58" s="75">
        <f t="shared" si="7"/>
        <v>112.49509951060118</v>
      </c>
      <c r="Q58" s="75">
        <f t="shared" si="7"/>
        <v>307.38036928010274</v>
      </c>
      <c r="R58" s="75">
        <f t="shared" si="7"/>
        <v>301.48527309498064</v>
      </c>
      <c r="S58" s="75">
        <f t="shared" si="7"/>
        <v>295.5806593182927</v>
      </c>
      <c r="T58" s="75">
        <f t="shared" si="7"/>
        <v>289.66536213921825</v>
      </c>
      <c r="U58" s="75">
        <f t="shared" si="7"/>
        <v>283.7382012098513</v>
      </c>
      <c r="V58" s="75">
        <f t="shared" si="7"/>
        <v>277.79798127544638</v>
      </c>
      <c r="W58" s="75">
        <f t="shared" si="7"/>
        <v>271.84349179798079</v>
      </c>
      <c r="X58" s="75">
        <f t="shared" si="7"/>
        <v>265.87350657289261</v>
      </c>
    </row>
    <row r="59" spans="1:25" ht="15.75">
      <c r="A59" s="71" t="s">
        <v>47</v>
      </c>
      <c r="B59" s="69"/>
      <c r="C59" s="69"/>
      <c r="D59" s="69"/>
      <c r="E59" s="75">
        <f>$C$33</f>
        <v>150</v>
      </c>
      <c r="F59" s="75">
        <f t="shared" ref="F59:X59" si="8">$C$33</f>
        <v>150</v>
      </c>
      <c r="G59" s="75">
        <f t="shared" si="8"/>
        <v>150</v>
      </c>
      <c r="H59" s="75">
        <f t="shared" si="8"/>
        <v>150</v>
      </c>
      <c r="I59" s="75">
        <f t="shared" si="8"/>
        <v>150</v>
      </c>
      <c r="J59" s="75">
        <f t="shared" si="8"/>
        <v>150</v>
      </c>
      <c r="K59" s="75">
        <f t="shared" si="8"/>
        <v>150</v>
      </c>
      <c r="L59" s="75">
        <f t="shared" si="8"/>
        <v>150</v>
      </c>
      <c r="M59" s="75">
        <f t="shared" si="8"/>
        <v>150</v>
      </c>
      <c r="N59" s="75">
        <f t="shared" si="8"/>
        <v>150</v>
      </c>
      <c r="O59" s="75">
        <f t="shared" si="8"/>
        <v>150</v>
      </c>
      <c r="P59" s="75">
        <f t="shared" si="8"/>
        <v>150</v>
      </c>
      <c r="Q59" s="75">
        <f t="shared" si="8"/>
        <v>150</v>
      </c>
      <c r="R59" s="75">
        <f t="shared" si="8"/>
        <v>150</v>
      </c>
      <c r="S59" s="75">
        <f t="shared" si="8"/>
        <v>150</v>
      </c>
      <c r="T59" s="75">
        <f t="shared" si="8"/>
        <v>150</v>
      </c>
      <c r="U59" s="75">
        <f t="shared" si="8"/>
        <v>150</v>
      </c>
      <c r="V59" s="75">
        <f t="shared" si="8"/>
        <v>150</v>
      </c>
      <c r="W59" s="75">
        <f t="shared" si="8"/>
        <v>150</v>
      </c>
      <c r="X59" s="75">
        <f t="shared" si="8"/>
        <v>150</v>
      </c>
    </row>
    <row r="60" spans="1:25" ht="15.75">
      <c r="A60" s="71" t="s">
        <v>90</v>
      </c>
      <c r="B60" s="69"/>
      <c r="C60" s="69"/>
      <c r="D60" s="69"/>
      <c r="E60" s="75">
        <f>C35</f>
        <v>116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/>
    </row>
    <row r="61" spans="1:25" ht="15.75">
      <c r="A61" s="71" t="s">
        <v>89</v>
      </c>
      <c r="B61" s="69"/>
      <c r="C61" s="69"/>
      <c r="D61" s="69"/>
      <c r="E61" s="75">
        <f>$C$36</f>
        <v>27.6</v>
      </c>
      <c r="F61" s="75">
        <f t="shared" ref="F61:X61" si="9">$C$36</f>
        <v>27.6</v>
      </c>
      <c r="G61" s="75">
        <f t="shared" si="9"/>
        <v>27.6</v>
      </c>
      <c r="H61" s="75">
        <f t="shared" si="9"/>
        <v>27.6</v>
      </c>
      <c r="I61" s="75">
        <f t="shared" si="9"/>
        <v>27.6</v>
      </c>
      <c r="J61" s="75">
        <f t="shared" si="9"/>
        <v>27.6</v>
      </c>
      <c r="K61" s="75">
        <f t="shared" si="9"/>
        <v>27.6</v>
      </c>
      <c r="L61" s="75">
        <f t="shared" si="9"/>
        <v>27.6</v>
      </c>
      <c r="M61" s="75">
        <f t="shared" si="9"/>
        <v>27.6</v>
      </c>
      <c r="N61" s="75">
        <f t="shared" si="9"/>
        <v>27.6</v>
      </c>
      <c r="O61" s="75">
        <f t="shared" si="9"/>
        <v>27.6</v>
      </c>
      <c r="P61" s="75">
        <f t="shared" si="9"/>
        <v>27.6</v>
      </c>
      <c r="Q61" s="75">
        <f t="shared" si="9"/>
        <v>27.6</v>
      </c>
      <c r="R61" s="75">
        <f t="shared" si="9"/>
        <v>27.6</v>
      </c>
      <c r="S61" s="75">
        <f t="shared" si="9"/>
        <v>27.6</v>
      </c>
      <c r="T61" s="75">
        <f t="shared" si="9"/>
        <v>27.6</v>
      </c>
      <c r="U61" s="75">
        <f t="shared" si="9"/>
        <v>27.6</v>
      </c>
      <c r="V61" s="75">
        <f t="shared" si="9"/>
        <v>27.6</v>
      </c>
      <c r="W61" s="75">
        <f t="shared" si="9"/>
        <v>27.6</v>
      </c>
      <c r="X61" s="75">
        <f t="shared" si="9"/>
        <v>27.6</v>
      </c>
    </row>
    <row r="62" spans="1:25" ht="15.75">
      <c r="A62" s="71" t="s">
        <v>97</v>
      </c>
      <c r="B62" s="69"/>
      <c r="C62" s="69"/>
      <c r="D62" s="69"/>
      <c r="E62" s="75">
        <f>C37</f>
        <v>1500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</row>
    <row r="63" spans="1:25" ht="15.75">
      <c r="A63" s="71" t="s">
        <v>46</v>
      </c>
      <c r="B63" s="69"/>
      <c r="C63" s="69"/>
      <c r="D63" s="69"/>
      <c r="E63" s="75">
        <f t="shared" ref="E63:X63" si="10">$C$38</f>
        <v>100</v>
      </c>
      <c r="F63" s="75">
        <f t="shared" si="10"/>
        <v>100</v>
      </c>
      <c r="G63" s="75">
        <f t="shared" si="10"/>
        <v>100</v>
      </c>
      <c r="H63" s="75">
        <f t="shared" si="10"/>
        <v>100</v>
      </c>
      <c r="I63" s="75">
        <f t="shared" si="10"/>
        <v>100</v>
      </c>
      <c r="J63" s="75">
        <f t="shared" si="10"/>
        <v>100</v>
      </c>
      <c r="K63" s="75">
        <f t="shared" si="10"/>
        <v>100</v>
      </c>
      <c r="L63" s="75">
        <f t="shared" si="10"/>
        <v>100</v>
      </c>
      <c r="M63" s="75">
        <f t="shared" si="10"/>
        <v>100</v>
      </c>
      <c r="N63" s="75">
        <f t="shared" si="10"/>
        <v>100</v>
      </c>
      <c r="O63" s="75">
        <f t="shared" si="10"/>
        <v>100</v>
      </c>
      <c r="P63" s="75">
        <f t="shared" si="10"/>
        <v>100</v>
      </c>
      <c r="Q63" s="75">
        <f t="shared" si="10"/>
        <v>100</v>
      </c>
      <c r="R63" s="75">
        <f t="shared" si="10"/>
        <v>100</v>
      </c>
      <c r="S63" s="75">
        <f t="shared" si="10"/>
        <v>100</v>
      </c>
      <c r="T63" s="75">
        <f t="shared" si="10"/>
        <v>100</v>
      </c>
      <c r="U63" s="75">
        <f t="shared" si="10"/>
        <v>100</v>
      </c>
      <c r="V63" s="75">
        <f t="shared" si="10"/>
        <v>100</v>
      </c>
      <c r="W63" s="75">
        <f t="shared" si="10"/>
        <v>100</v>
      </c>
      <c r="X63" s="75">
        <f t="shared" si="10"/>
        <v>100</v>
      </c>
    </row>
    <row r="64" spans="1:25" ht="15.75">
      <c r="A64" s="71" t="s">
        <v>105</v>
      </c>
      <c r="B64" s="69"/>
      <c r="C64" s="69"/>
      <c r="D64" s="69"/>
      <c r="E64" s="76">
        <f>SUM(E57:E63)</f>
        <v>3366.3211999999994</v>
      </c>
      <c r="F64" s="76">
        <f>SUM(F57:F63)</f>
        <v>576.82591599999989</v>
      </c>
      <c r="G64" s="76">
        <f t="shared" ref="G64:X64" si="11">SUM(G57:G63)</f>
        <v>536.38252673199895</v>
      </c>
      <c r="H64" s="76">
        <f t="shared" si="11"/>
        <v>495.95601092693124</v>
      </c>
      <c r="I64" s="76">
        <f t="shared" si="11"/>
        <v>455.53927438281869</v>
      </c>
      <c r="J64" s="76">
        <f t="shared" si="11"/>
        <v>415.1251478986884</v>
      </c>
      <c r="K64" s="76">
        <f t="shared" si="11"/>
        <v>374.70638517262137</v>
      </c>
      <c r="L64" s="76">
        <f t="shared" si="11"/>
        <v>334.27566066318957</v>
      </c>
      <c r="M64" s="76">
        <f t="shared" si="11"/>
        <v>293.82556741348492</v>
      </c>
      <c r="N64" s="76">
        <f t="shared" si="11"/>
        <v>277.60000000000002</v>
      </c>
      <c r="O64" s="76">
        <f t="shared" si="11"/>
        <v>277.60000000000002</v>
      </c>
      <c r="P64" s="76">
        <f t="shared" si="11"/>
        <v>1053.5277376500439</v>
      </c>
      <c r="Q64" s="76">
        <f t="shared" si="11"/>
        <v>2397.7363932396829</v>
      </c>
      <c r="R64" s="76">
        <f t="shared" si="11"/>
        <v>2357.0753451935843</v>
      </c>
      <c r="S64" s="76">
        <f t="shared" si="11"/>
        <v>2316.3486501697625</v>
      </c>
      <c r="T64" s="76">
        <f t="shared" si="11"/>
        <v>2275.548267062813</v>
      </c>
      <c r="U64" s="76">
        <f t="shared" si="11"/>
        <v>2234.6660544987176</v>
      </c>
      <c r="V64" s="76">
        <f t="shared" si="11"/>
        <v>2193.6937682844887</v>
      </c>
      <c r="W64" s="76">
        <f t="shared" si="11"/>
        <v>2152.6230588117137</v>
      </c>
      <c r="X64" s="76">
        <f t="shared" si="11"/>
        <v>2111.4454684130287</v>
      </c>
    </row>
    <row r="65" spans="1:24" ht="11.25" customHeight="1">
      <c r="A65" s="57"/>
      <c r="B65" s="69"/>
      <c r="C65" s="69"/>
      <c r="D65" s="69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1:24" ht="16.5" thickBot="1">
      <c r="A66" s="71" t="s">
        <v>111</v>
      </c>
      <c r="B66" s="69"/>
      <c r="C66" s="69"/>
      <c r="D66" s="69"/>
      <c r="E66" s="77">
        <v>1</v>
      </c>
      <c r="F66" s="77">
        <v>2</v>
      </c>
      <c r="G66" s="77">
        <v>3</v>
      </c>
      <c r="H66" s="77">
        <v>4</v>
      </c>
      <c r="I66" s="77">
        <v>5</v>
      </c>
      <c r="J66" s="77">
        <v>6</v>
      </c>
      <c r="K66" s="77">
        <v>7</v>
      </c>
      <c r="L66" s="77">
        <v>8</v>
      </c>
      <c r="M66" s="77">
        <v>9</v>
      </c>
      <c r="N66" s="77">
        <v>10</v>
      </c>
      <c r="O66" s="77">
        <v>11</v>
      </c>
      <c r="P66" s="77">
        <v>12</v>
      </c>
      <c r="Q66" s="77">
        <v>13</v>
      </c>
      <c r="R66" s="77">
        <v>14</v>
      </c>
      <c r="S66" s="77">
        <v>15</v>
      </c>
      <c r="T66" s="77">
        <v>16</v>
      </c>
      <c r="U66" s="77">
        <v>17</v>
      </c>
      <c r="V66" s="77">
        <v>18</v>
      </c>
      <c r="W66" s="77">
        <v>19</v>
      </c>
      <c r="X66" s="77">
        <v>20</v>
      </c>
    </row>
    <row r="67" spans="1:24" ht="16.5" thickBot="1">
      <c r="A67" s="71" t="s">
        <v>44</v>
      </c>
      <c r="B67" s="69"/>
      <c r="C67" s="69"/>
      <c r="D67" s="69"/>
      <c r="E67" s="78">
        <f>(-(C3*C32))+E53-E64</f>
        <v>-82491.521200000003</v>
      </c>
      <c r="F67" s="78">
        <f t="shared" ref="F67:X67" si="12">E67+F53-F64</f>
        <v>-68355.197516</v>
      </c>
      <c r="G67" s="78">
        <f t="shared" si="12"/>
        <v>-54225.241902732007</v>
      </c>
      <c r="H67" s="78">
        <f t="shared" si="12"/>
        <v>-40099.537792790936</v>
      </c>
      <c r="I67" s="78">
        <f t="shared" si="12"/>
        <v>-25975.946482783012</v>
      </c>
      <c r="J67" s="78">
        <f t="shared" si="12"/>
        <v>-11852.306508847705</v>
      </c>
      <c r="K67" s="78">
        <f t="shared" si="12"/>
        <v>2273.5669886739906</v>
      </c>
      <c r="L67" s="78">
        <f t="shared" si="12"/>
        <v>16403.882911656834</v>
      </c>
      <c r="M67" s="78">
        <f t="shared" si="12"/>
        <v>30540.87486193045</v>
      </c>
      <c r="N67" s="78">
        <f t="shared" si="12"/>
        <v>44662.550425418121</v>
      </c>
      <c r="O67" s="78">
        <f t="shared" si="12"/>
        <v>58754.934620363361</v>
      </c>
      <c r="P67" s="78">
        <f t="shared" si="12"/>
        <v>72044.369373663576</v>
      </c>
      <c r="Q67" s="78">
        <f t="shared" si="12"/>
        <v>83964.863125790333</v>
      </c>
      <c r="R67" s="78">
        <f t="shared" si="12"/>
        <v>95903.59525782631</v>
      </c>
      <c r="S67" s="78">
        <f t="shared" si="12"/>
        <v>107862.9620488259</v>
      </c>
      <c r="T67" s="78">
        <f t="shared" si="12"/>
        <v>119845.38941982144</v>
      </c>
      <c r="U67" s="78">
        <f t="shared" si="12"/>
        <v>131853.33369121529</v>
      </c>
      <c r="V67" s="78">
        <f t="shared" si="12"/>
        <v>143889.28235383861</v>
      </c>
      <c r="W67" s="78">
        <f t="shared" si="12"/>
        <v>155955.75485396379</v>
      </c>
      <c r="X67" s="78">
        <f t="shared" si="12"/>
        <v>168055.30339256258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2:C12"/>
    <mergeCell ref="G32:H32"/>
    <mergeCell ref="A15:C15"/>
    <mergeCell ref="A6:C6"/>
    <mergeCell ref="A8:C8"/>
    <mergeCell ref="A10:C10"/>
    <mergeCell ref="H19:O20"/>
  </mergeCells>
  <conditionalFormatting sqref="E67:X67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greaterThan">
      <formula>0</formula>
    </cfRule>
  </conditionalFormatting>
  <conditionalFormatting sqref="E55:X58">
    <cfRule type="cellIs" dxfId="2" priority="2" operator="equal">
      <formula>0</formula>
    </cfRule>
    <cfRule type="cellIs" dxfId="1" priority="3" operator="greaterThan">
      <formula>0</formula>
    </cfRule>
    <cfRule type="cellIs" dxfId="0" priority="1" operator="lessThan">
      <formula>0</formula>
    </cfRule>
  </conditionalFormatting>
  <hyperlinks>
    <hyperlink ref="F24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35:C36" unlockedFormula="1"/>
    <ignoredError sqref="E61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W108"/>
  <sheetViews>
    <sheetView topLeftCell="A57" zoomScaleNormal="100" workbookViewId="0">
      <selection activeCell="F76" sqref="F76"/>
    </sheetView>
  </sheetViews>
  <sheetFormatPr defaultRowHeight="15"/>
  <cols>
    <col min="1" max="3" width="9.140625" style="7" customWidth="1"/>
    <col min="4" max="4" width="11.28515625" style="7" customWidth="1"/>
    <col min="5" max="5" width="10.85546875" style="7" customWidth="1"/>
    <col min="6" max="6" width="11.28515625" style="7" customWidth="1"/>
    <col min="7" max="7" width="9.140625" style="7" customWidth="1"/>
    <col min="8" max="8" width="9.5703125" style="7" customWidth="1"/>
    <col min="9" max="9" width="8.7109375" style="7" customWidth="1"/>
    <col min="10" max="11" width="9.140625" style="7" customWidth="1"/>
    <col min="12" max="12" width="8.5703125" style="7" customWidth="1"/>
    <col min="13" max="13" width="9.140625" style="7" customWidth="1"/>
    <col min="14" max="14" width="9.85546875" style="7" customWidth="1"/>
    <col min="15" max="15" width="8" style="7" customWidth="1"/>
    <col min="16" max="16" width="9.140625" style="7" customWidth="1"/>
    <col min="17" max="17" width="9.140625" style="102" customWidth="1"/>
    <col min="18" max="21" width="9.140625" style="7" customWidth="1"/>
    <col min="22" max="16384" width="9.140625" style="7"/>
  </cols>
  <sheetData>
    <row r="1" spans="4:18" s="2" customFormat="1" ht="18.75">
      <c r="D1" s="151">
        <v>1</v>
      </c>
      <c r="E1" s="3" t="s">
        <v>119</v>
      </c>
      <c r="F1" s="4"/>
      <c r="H1" s="3" t="s">
        <v>18</v>
      </c>
      <c r="I1" s="3"/>
      <c r="J1" s="3"/>
      <c r="K1" s="3">
        <v>1</v>
      </c>
      <c r="L1" s="3">
        <v>4</v>
      </c>
      <c r="M1" s="5">
        <f>'Impianti Titolo II'!C3</f>
        <v>48</v>
      </c>
      <c r="N1" s="3"/>
      <c r="O1" s="3"/>
      <c r="P1" s="3" t="b">
        <f>AND($K$1=1,$L$1=1,$M$1&lt;20)</f>
        <v>0</v>
      </c>
      <c r="Q1" s="6">
        <v>0</v>
      </c>
      <c r="R1" s="3">
        <f>IF(P1=TRUE,Q1,0)</f>
        <v>0</v>
      </c>
    </row>
    <row r="2" spans="4:18">
      <c r="D2" s="152"/>
      <c r="E2" s="3" t="s">
        <v>120</v>
      </c>
      <c r="F2" s="8"/>
      <c r="H2" s="3" t="s">
        <v>17</v>
      </c>
      <c r="I2" s="3"/>
      <c r="J2" s="3"/>
      <c r="K2" s="3"/>
      <c r="P2" s="3" t="b">
        <f>AND($K$1=1,$L$1=2,$M$1&lt;20)</f>
        <v>0</v>
      </c>
      <c r="Q2" s="6">
        <v>30</v>
      </c>
      <c r="R2" s="3">
        <f>IF(P2=TRUE,Q2,0)</f>
        <v>0</v>
      </c>
    </row>
    <row r="3" spans="4:18">
      <c r="D3" s="152"/>
      <c r="E3" s="3" t="s">
        <v>121</v>
      </c>
      <c r="F3" s="8"/>
      <c r="H3" s="3" t="s">
        <v>16</v>
      </c>
      <c r="I3" s="3"/>
      <c r="J3" s="3"/>
      <c r="K3" s="3"/>
      <c r="P3" s="3" t="b">
        <f>AND($K$1=1,$L$1=3,$M$1&lt;20)</f>
        <v>0</v>
      </c>
      <c r="Q3" s="6">
        <v>20</v>
      </c>
      <c r="R3" s="3">
        <f t="shared" ref="R3" si="0">IF(P3=TRUE,Q3,0)</f>
        <v>0</v>
      </c>
    </row>
    <row r="4" spans="4:18">
      <c r="D4" s="152"/>
      <c r="E4" s="3" t="s">
        <v>122</v>
      </c>
      <c r="F4" s="8"/>
      <c r="H4" s="3"/>
      <c r="I4" s="3"/>
      <c r="J4" s="3"/>
      <c r="K4" s="3"/>
      <c r="P4" s="3" t="b">
        <f>AND($K$1=1,$L$1=4,$M$1&lt;20)</f>
        <v>0</v>
      </c>
      <c r="Q4" s="19">
        <v>50</v>
      </c>
      <c r="R4" s="3">
        <f t="shared" ref="R4:R19" si="1">IF(P4=TRUE,Q4,0)</f>
        <v>0</v>
      </c>
    </row>
    <row r="5" spans="4:18">
      <c r="D5" s="152"/>
      <c r="E5" s="3" t="s">
        <v>123</v>
      </c>
      <c r="F5" s="8"/>
      <c r="H5" s="18"/>
      <c r="P5" s="3" t="b">
        <f>AND($K$1=2,$L$1=1,$M$1&lt;20)</f>
        <v>0</v>
      </c>
      <c r="Q5" s="6">
        <v>0</v>
      </c>
      <c r="R5" s="3">
        <f t="shared" si="1"/>
        <v>0</v>
      </c>
    </row>
    <row r="6" spans="4:18" ht="15.75" thickBot="1">
      <c r="E6" s="3"/>
      <c r="H6" s="18"/>
      <c r="P6" s="3" t="b">
        <f>AND($K$1=2,$L$1=2,$M$1&lt;20)</f>
        <v>0</v>
      </c>
      <c r="Q6" s="19">
        <v>20</v>
      </c>
      <c r="R6" s="3">
        <f t="shared" si="1"/>
        <v>0</v>
      </c>
    </row>
    <row r="7" spans="4:18">
      <c r="D7" s="151">
        <v>1</v>
      </c>
      <c r="E7" s="16" t="s">
        <v>0</v>
      </c>
      <c r="F7" s="17"/>
      <c r="P7" s="3" t="b">
        <f>AND($K$1=2,$L$1=3,$M$1&lt;20)</f>
        <v>0</v>
      </c>
      <c r="Q7" s="19">
        <v>10</v>
      </c>
      <c r="R7" s="3">
        <f t="shared" si="1"/>
        <v>0</v>
      </c>
    </row>
    <row r="8" spans="4:18" ht="15.75" thickBot="1">
      <c r="D8" s="153"/>
      <c r="E8" s="20" t="s">
        <v>1</v>
      </c>
      <c r="F8" s="21"/>
      <c r="P8" s="3" t="b">
        <f>AND($K$1=2,$L$1=4,$M$1&lt;20)</f>
        <v>0</v>
      </c>
      <c r="Q8" s="19">
        <v>30</v>
      </c>
      <c r="R8" s="3">
        <f t="shared" si="1"/>
        <v>0</v>
      </c>
    </row>
    <row r="9" spans="4:18">
      <c r="P9" s="3" t="b">
        <f>AND($K$1=3,$L$1=1,$M$1&lt;20)</f>
        <v>0</v>
      </c>
      <c r="Q9" s="6">
        <v>0</v>
      </c>
      <c r="R9" s="3">
        <f t="shared" si="1"/>
        <v>0</v>
      </c>
    </row>
    <row r="10" spans="4:18" ht="15.75" thickBot="1"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" t="b">
        <f>AND($K$1=3,$L$1=2,$M$1&lt;20)</f>
        <v>0</v>
      </c>
      <c r="Q10" s="19">
        <v>10</v>
      </c>
      <c r="R10" s="3">
        <f t="shared" si="1"/>
        <v>0</v>
      </c>
    </row>
    <row r="11" spans="4:18">
      <c r="D11" s="24"/>
      <c r="E11" s="16"/>
      <c r="F11" s="148" t="s">
        <v>4</v>
      </c>
      <c r="G11" s="149"/>
      <c r="H11" s="102"/>
      <c r="I11" s="102"/>
      <c r="J11" s="99"/>
      <c r="K11" s="16"/>
      <c r="L11" s="148" t="s">
        <v>5</v>
      </c>
      <c r="M11" s="149"/>
      <c r="N11" s="3"/>
      <c r="O11" s="3"/>
      <c r="P11" s="3" t="b">
        <f>AND($K$1=3,$L$1=3,$M$1&lt;20)</f>
        <v>0</v>
      </c>
      <c r="Q11" s="19">
        <v>5</v>
      </c>
      <c r="R11" s="3">
        <f t="shared" si="1"/>
        <v>0</v>
      </c>
    </row>
    <row r="12" spans="4:18">
      <c r="D12" s="23"/>
      <c r="E12" s="3"/>
      <c r="F12" s="6" t="s">
        <v>2</v>
      </c>
      <c r="G12" s="27" t="s">
        <v>3</v>
      </c>
      <c r="H12" s="102"/>
      <c r="I12" s="102"/>
      <c r="J12" s="100"/>
      <c r="K12" s="3"/>
      <c r="L12" s="6" t="s">
        <v>2</v>
      </c>
      <c r="M12" s="27" t="s">
        <v>3</v>
      </c>
      <c r="N12" s="28"/>
      <c r="O12" s="28"/>
      <c r="P12" s="3" t="b">
        <f>AND($K$1=3,$L$1=4,$M$1&lt;20)</f>
        <v>0</v>
      </c>
      <c r="Q12" s="19">
        <v>15</v>
      </c>
      <c r="R12" s="3">
        <f t="shared" si="1"/>
        <v>0</v>
      </c>
    </row>
    <row r="13" spans="4:18">
      <c r="D13" s="23" t="b">
        <f>AND($D$1=1,$D$7=1,'Impianti Titolo II'!$C$3&lt;=3,'Impianti Titolo II'!$C$3&gt;=1)</f>
        <v>0</v>
      </c>
      <c r="E13" s="29" t="s">
        <v>7</v>
      </c>
      <c r="F13" s="6">
        <v>208</v>
      </c>
      <c r="G13" s="27">
        <f t="shared" ref="G13:G18" si="2">F13-82</f>
        <v>126</v>
      </c>
      <c r="H13" s="102">
        <f t="shared" ref="H13:H18" si="3">IF(D13=TRUE,F13,0)</f>
        <v>0</v>
      </c>
      <c r="I13" s="102">
        <f t="shared" ref="I13:I18" si="4">IF(D13=TRUE,G13,0)</f>
        <v>0</v>
      </c>
      <c r="J13" s="23" t="b">
        <f>AND($D$1=1,$D$7=2,'Impianti Titolo II'!$C$3&lt;=3,'Impianti Titolo II'!$C$3&gt;=1)</f>
        <v>0</v>
      </c>
      <c r="K13" s="29" t="s">
        <v>7</v>
      </c>
      <c r="L13" s="6">
        <v>201</v>
      </c>
      <c r="M13" s="27">
        <f t="shared" ref="M13:M18" si="5">L13-82</f>
        <v>119</v>
      </c>
      <c r="N13" s="6">
        <f>IF(J13=TRUE,L13,0)</f>
        <v>0</v>
      </c>
      <c r="O13" s="6">
        <f>IF(J13=TRUE,M13,0)</f>
        <v>0</v>
      </c>
      <c r="P13" s="3" t="b">
        <f>AND($K$1=1,$L$1=1,$M$1&gt;20)</f>
        <v>0</v>
      </c>
      <c r="Q13" s="102">
        <v>0</v>
      </c>
      <c r="R13" s="3">
        <f t="shared" si="1"/>
        <v>0</v>
      </c>
    </row>
    <row r="14" spans="4:18">
      <c r="D14" s="23" t="b">
        <f>AND($D$1=1,$D$7=1,'Impianti Titolo II'!$C$3&lt;=20,'Impianti Titolo II'!$C$3&gt;3)</f>
        <v>0</v>
      </c>
      <c r="E14" s="29" t="s">
        <v>8</v>
      </c>
      <c r="F14" s="6">
        <v>196</v>
      </c>
      <c r="G14" s="27">
        <f t="shared" si="2"/>
        <v>114</v>
      </c>
      <c r="H14" s="102">
        <f t="shared" si="3"/>
        <v>0</v>
      </c>
      <c r="I14" s="102">
        <f t="shared" si="4"/>
        <v>0</v>
      </c>
      <c r="J14" s="23" t="b">
        <f>AND($D$1=1,$D$7=2,'Impianti Titolo II'!$C$3&lt;=20,'Impianti Titolo II'!$C$3&gt;3)</f>
        <v>0</v>
      </c>
      <c r="K14" s="29" t="s">
        <v>8</v>
      </c>
      <c r="L14" s="6">
        <v>189</v>
      </c>
      <c r="M14" s="27">
        <f t="shared" si="5"/>
        <v>107</v>
      </c>
      <c r="N14" s="6">
        <f t="shared" ref="N14:N18" si="6">IF(J14=TRUE,L14,0)</f>
        <v>0</v>
      </c>
      <c r="O14" s="6">
        <f t="shared" ref="O14:O18" si="7">IF(J14=TRUE,M14,0)</f>
        <v>0</v>
      </c>
      <c r="P14" s="3" t="b">
        <f>AND($K$1=1,$L$1=2,$M$1&gt;20)</f>
        <v>0</v>
      </c>
      <c r="Q14" s="102">
        <v>20</v>
      </c>
      <c r="R14" s="3">
        <f t="shared" si="1"/>
        <v>0</v>
      </c>
    </row>
    <row r="15" spans="4:18" ht="22.5" customHeight="1">
      <c r="D15" s="23" t="b">
        <f>AND($D$1=1,$D$7=1,'Impianti Titolo II'!$C$3&lt;=200,'Impianti Titolo II'!$C$3&gt;20)</f>
        <v>1</v>
      </c>
      <c r="E15" s="29" t="s">
        <v>9</v>
      </c>
      <c r="F15" s="6">
        <v>175</v>
      </c>
      <c r="G15" s="27">
        <f t="shared" si="2"/>
        <v>93</v>
      </c>
      <c r="H15" s="102">
        <f t="shared" si="3"/>
        <v>175</v>
      </c>
      <c r="I15" s="102">
        <f t="shared" si="4"/>
        <v>93</v>
      </c>
      <c r="J15" s="23" t="b">
        <f>AND($D$1=1,$D$7=2,'Impianti Titolo II'!$C$3&lt;=200,'Impianti Titolo II'!$C$3&gt;20)</f>
        <v>0</v>
      </c>
      <c r="K15" s="29" t="s">
        <v>9</v>
      </c>
      <c r="L15" s="6">
        <v>168</v>
      </c>
      <c r="M15" s="27">
        <f t="shared" si="5"/>
        <v>86</v>
      </c>
      <c r="N15" s="6">
        <f t="shared" si="6"/>
        <v>0</v>
      </c>
      <c r="O15" s="6">
        <f t="shared" si="7"/>
        <v>0</v>
      </c>
      <c r="P15" s="3" t="b">
        <f>AND($K$1=1,$L$1=3,$M$1&gt;20)</f>
        <v>0</v>
      </c>
      <c r="Q15" s="102">
        <v>20</v>
      </c>
      <c r="R15" s="3">
        <f t="shared" si="1"/>
        <v>0</v>
      </c>
    </row>
    <row r="16" spans="4:18" ht="13.5" customHeight="1">
      <c r="D16" s="23" t="b">
        <f>AND($D$1=1,$D$7=1,'Impianti Titolo II'!$C$3&lt;=1000,'Impianti Titolo II'!$C$3&gt;200)</f>
        <v>0</v>
      </c>
      <c r="E16" s="29" t="s">
        <v>10</v>
      </c>
      <c r="F16" s="6">
        <v>142</v>
      </c>
      <c r="G16" s="27">
        <f t="shared" si="2"/>
        <v>60</v>
      </c>
      <c r="H16" s="102">
        <f t="shared" si="3"/>
        <v>0</v>
      </c>
      <c r="I16" s="102">
        <f t="shared" si="4"/>
        <v>0</v>
      </c>
      <c r="J16" s="23" t="b">
        <f>AND($D$1=1,$D$7=2,'Impianti Titolo II'!$C$3&lt;=1000,'Impianti Titolo II'!$C$3&gt;200)</f>
        <v>0</v>
      </c>
      <c r="K16" s="29" t="s">
        <v>10</v>
      </c>
      <c r="L16" s="6">
        <v>135</v>
      </c>
      <c r="M16" s="27">
        <f t="shared" si="5"/>
        <v>53</v>
      </c>
      <c r="N16" s="6">
        <f t="shared" si="6"/>
        <v>0</v>
      </c>
      <c r="O16" s="6">
        <f t="shared" si="7"/>
        <v>0</v>
      </c>
      <c r="P16" s="3" t="b">
        <f>AND($K$1=1,$L$1=4,$M$1&gt;20)</f>
        <v>1</v>
      </c>
      <c r="Q16" s="102">
        <v>40</v>
      </c>
      <c r="R16" s="3">
        <f t="shared" si="1"/>
        <v>40</v>
      </c>
    </row>
    <row r="17" spans="4:21">
      <c r="D17" s="23" t="b">
        <f>AND($D$1=1,$D$7=1,'Impianti Titolo II'!$C$3&lt;=5000,'Impianti Titolo II'!$C$3&gt;1000)</f>
        <v>0</v>
      </c>
      <c r="E17" s="29" t="s">
        <v>11</v>
      </c>
      <c r="F17" s="6">
        <v>126</v>
      </c>
      <c r="G17" s="27">
        <f t="shared" si="2"/>
        <v>44</v>
      </c>
      <c r="H17" s="102">
        <f t="shared" si="3"/>
        <v>0</v>
      </c>
      <c r="I17" s="102">
        <f t="shared" si="4"/>
        <v>0</v>
      </c>
      <c r="J17" s="23" t="b">
        <f>AND($D$1=1,$D$7=2,'Impianti Titolo II'!$C$3&lt;=5000,'Impianti Titolo II'!$C$3&gt;1000)</f>
        <v>0</v>
      </c>
      <c r="K17" s="29" t="s">
        <v>11</v>
      </c>
      <c r="L17" s="6">
        <v>120</v>
      </c>
      <c r="M17" s="27">
        <f t="shared" si="5"/>
        <v>38</v>
      </c>
      <c r="N17" s="6">
        <f t="shared" si="6"/>
        <v>0</v>
      </c>
      <c r="O17" s="6">
        <f t="shared" si="7"/>
        <v>0</v>
      </c>
      <c r="P17" s="3" t="b">
        <f>AND($K$1=2,$L$1=1,$M$1&gt;20)</f>
        <v>0</v>
      </c>
      <c r="Q17" s="102">
        <v>0</v>
      </c>
      <c r="R17" s="3">
        <f t="shared" si="1"/>
        <v>0</v>
      </c>
    </row>
    <row r="18" spans="4:21" ht="15.75" thickBot="1">
      <c r="D18" s="30" t="b">
        <f>AND($D$1=1,$D$7=1,'Impianti Titolo II'!$C$3&gt;=5000)</f>
        <v>0</v>
      </c>
      <c r="E18" s="39" t="s">
        <v>12</v>
      </c>
      <c r="F18" s="40">
        <v>119</v>
      </c>
      <c r="G18" s="41">
        <f t="shared" si="2"/>
        <v>37</v>
      </c>
      <c r="H18" s="102">
        <f t="shared" si="3"/>
        <v>0</v>
      </c>
      <c r="I18" s="102">
        <f t="shared" si="4"/>
        <v>0</v>
      </c>
      <c r="J18" s="30" t="b">
        <f>AND($D$1=1,$D$7=2,'Impianti Titolo II'!$C$3&gt;=5000)</f>
        <v>0</v>
      </c>
      <c r="K18" s="39" t="s">
        <v>12</v>
      </c>
      <c r="L18" s="40">
        <v>113</v>
      </c>
      <c r="M18" s="41">
        <f t="shared" si="5"/>
        <v>31</v>
      </c>
      <c r="N18" s="6">
        <f t="shared" si="6"/>
        <v>0</v>
      </c>
      <c r="O18" s="6">
        <f t="shared" si="7"/>
        <v>0</v>
      </c>
      <c r="P18" s="3" t="b">
        <f>AND($K$1=2,$L$1=2,$M$1&gt;20)</f>
        <v>0</v>
      </c>
      <c r="Q18" s="102">
        <v>10</v>
      </c>
      <c r="R18" s="3">
        <f t="shared" si="1"/>
        <v>0</v>
      </c>
    </row>
    <row r="19" spans="4:21" ht="15.75" thickBot="1">
      <c r="F19" s="102"/>
      <c r="G19" s="102"/>
      <c r="H19" s="48">
        <f>SUM(H13:H18)</f>
        <v>175</v>
      </c>
      <c r="I19" s="49">
        <f>SUM(I13:I18)</f>
        <v>93</v>
      </c>
      <c r="K19" s="102"/>
      <c r="L19" s="102"/>
      <c r="M19" s="102"/>
      <c r="N19" s="48">
        <f>SUM(N13:N18)</f>
        <v>0</v>
      </c>
      <c r="O19" s="48">
        <f>SUM(O13:O18)</f>
        <v>0</v>
      </c>
      <c r="P19" s="3" t="b">
        <f>AND($K$1=2,$L$1=3,$M$1&gt;20)</f>
        <v>0</v>
      </c>
      <c r="Q19" s="102">
        <v>10</v>
      </c>
      <c r="R19" s="3">
        <f t="shared" si="1"/>
        <v>0</v>
      </c>
    </row>
    <row r="20" spans="4:21" ht="24" customHeight="1">
      <c r="F20" s="102"/>
      <c r="G20" s="102"/>
      <c r="H20" s="6"/>
      <c r="I20" s="6"/>
      <c r="K20" s="102"/>
      <c r="L20" s="102"/>
      <c r="M20" s="102"/>
      <c r="N20" s="6"/>
      <c r="O20" s="6"/>
      <c r="P20" s="3" t="b">
        <f>AND($K$1=2,$L$1=4,$M$1&gt;20)</f>
        <v>0</v>
      </c>
      <c r="Q20" s="111">
        <v>20</v>
      </c>
      <c r="R20" s="3">
        <f t="shared" ref="R20" si="8">IF(P20=TRUE,Q20,0)</f>
        <v>0</v>
      </c>
    </row>
    <row r="21" spans="4:21" ht="12.75" customHeight="1" thickBot="1">
      <c r="F21" s="150"/>
      <c r="G21" s="150"/>
      <c r="H21" s="102"/>
      <c r="I21" s="102"/>
      <c r="K21" s="102"/>
      <c r="L21" s="150"/>
      <c r="M21" s="150"/>
      <c r="N21" s="102"/>
      <c r="O21" s="102"/>
      <c r="P21" s="53" t="b">
        <f>AND($K$1=3,$L$1=1,$M$1&gt;20)</f>
        <v>0</v>
      </c>
      <c r="Q21" s="56">
        <v>0</v>
      </c>
      <c r="R21" s="53">
        <f t="shared" ref="R21:R24" si="9">IF(P21=TRUE,Q21,0)</f>
        <v>0</v>
      </c>
    </row>
    <row r="22" spans="4:21" s="53" customFormat="1" ht="22.5" customHeight="1">
      <c r="D22" s="103"/>
      <c r="E22" s="104"/>
      <c r="F22" s="105" t="s">
        <v>2</v>
      </c>
      <c r="G22" s="106" t="s">
        <v>3</v>
      </c>
      <c r="H22" s="56"/>
      <c r="I22" s="56"/>
      <c r="J22" s="103"/>
      <c r="K22" s="104"/>
      <c r="L22" s="105" t="s">
        <v>2</v>
      </c>
      <c r="M22" s="106" t="s">
        <v>3</v>
      </c>
      <c r="N22" s="54"/>
      <c r="O22" s="54"/>
      <c r="P22" s="12" t="b">
        <f>AND($K$1=3,$L$1=2,$M$1&gt;20)</f>
        <v>0</v>
      </c>
      <c r="Q22" s="60">
        <v>5</v>
      </c>
      <c r="R22" s="12">
        <f t="shared" si="9"/>
        <v>0</v>
      </c>
    </row>
    <row r="23" spans="4:21" s="57" customFormat="1" ht="15.75">
      <c r="D23" s="23" t="b">
        <f>AND($D$1=2,$D$7=1,'Impianti Titolo II'!$C$3&lt;=3,'Impianti Titolo II'!$C$3&gt;=1)</f>
        <v>0</v>
      </c>
      <c r="E23" s="29" t="s">
        <v>7</v>
      </c>
      <c r="F23" s="58">
        <v>182</v>
      </c>
      <c r="G23" s="59">
        <f t="shared" ref="G23:G28" si="10">F23-82</f>
        <v>100</v>
      </c>
      <c r="H23" s="102">
        <f t="shared" ref="H23:H28" si="11">IF(D23=TRUE,F23,0)</f>
        <v>0</v>
      </c>
      <c r="I23" s="102">
        <f t="shared" ref="I23:I28" si="12">IF(D23=TRUE,G23,0)</f>
        <v>0</v>
      </c>
      <c r="J23" s="23" t="b">
        <f>AND($D$1=2,$D$7=2,'Impianti Titolo II'!$C$3&lt;=3,'Impianti Titolo II'!$C$3&gt;=1)</f>
        <v>0</v>
      </c>
      <c r="K23" s="29" t="s">
        <v>7</v>
      </c>
      <c r="L23" s="58">
        <v>176</v>
      </c>
      <c r="M23" s="59">
        <f t="shared" ref="M23:M28" si="13">L23-82</f>
        <v>94</v>
      </c>
      <c r="N23" s="6">
        <f>IF(J23=TRUE,L23,0)</f>
        <v>0</v>
      </c>
      <c r="O23" s="6">
        <f>IF(J23=TRUE,M23,0)</f>
        <v>0</v>
      </c>
      <c r="P23" s="12" t="b">
        <f>AND($K$1=3,$L$1=3,$M$1&gt;20)</f>
        <v>0</v>
      </c>
      <c r="Q23" s="60">
        <v>5</v>
      </c>
      <c r="R23" s="12">
        <f t="shared" si="9"/>
        <v>0</v>
      </c>
    </row>
    <row r="24" spans="4:21" s="57" customFormat="1" ht="15.75">
      <c r="D24" s="23" t="b">
        <f>AND($D$1=2,$D$7=1,'Impianti Titolo II'!$C$3&lt;=20,'Impianti Titolo II'!$C$3&gt;3)</f>
        <v>0</v>
      </c>
      <c r="E24" s="29" t="s">
        <v>8</v>
      </c>
      <c r="F24" s="58">
        <v>171</v>
      </c>
      <c r="G24" s="59">
        <f t="shared" si="10"/>
        <v>89</v>
      </c>
      <c r="H24" s="102">
        <f t="shared" si="11"/>
        <v>0</v>
      </c>
      <c r="I24" s="102">
        <f t="shared" si="12"/>
        <v>0</v>
      </c>
      <c r="J24" s="23" t="b">
        <f>AND($D$1=2,$D$7=2,'Impianti Titolo II'!$C$3&lt;=20,'Impianti Titolo II'!$C$3&gt;3)</f>
        <v>0</v>
      </c>
      <c r="K24" s="29" t="s">
        <v>8</v>
      </c>
      <c r="L24" s="58">
        <v>165</v>
      </c>
      <c r="M24" s="59">
        <f t="shared" si="13"/>
        <v>83</v>
      </c>
      <c r="N24" s="6">
        <f t="shared" ref="N24:N28" si="14">IF(J24=TRUE,L24,0)</f>
        <v>0</v>
      </c>
      <c r="O24" s="6">
        <f t="shared" ref="O24:O28" si="15">IF(J24=TRUE,M24,0)</f>
        <v>0</v>
      </c>
      <c r="P24" s="12" t="b">
        <f>AND($K$1=3,$L$1=4,$M$1&gt;20)</f>
        <v>0</v>
      </c>
      <c r="Q24" s="60">
        <v>10</v>
      </c>
      <c r="R24" s="12">
        <f t="shared" si="9"/>
        <v>0</v>
      </c>
    </row>
    <row r="25" spans="4:21" s="57" customFormat="1" ht="15.75">
      <c r="D25" s="23" t="b">
        <f>AND($D$1=2,$D$7=1,'Impianti Titolo II'!$C$3&lt;=200,'Impianti Titolo II'!$C$3&gt;20)</f>
        <v>0</v>
      </c>
      <c r="E25" s="29" t="s">
        <v>9</v>
      </c>
      <c r="F25" s="58">
        <v>157</v>
      </c>
      <c r="G25" s="59">
        <f t="shared" si="10"/>
        <v>75</v>
      </c>
      <c r="H25" s="102">
        <f t="shared" si="11"/>
        <v>0</v>
      </c>
      <c r="I25" s="102">
        <f t="shared" si="12"/>
        <v>0</v>
      </c>
      <c r="J25" s="23" t="b">
        <f>AND($D$1=2,$D$7=2,'Impianti Titolo II'!$C$3&lt;=200,'Impianti Titolo II'!$C$3&gt;20)</f>
        <v>0</v>
      </c>
      <c r="K25" s="29" t="s">
        <v>9</v>
      </c>
      <c r="L25" s="58">
        <v>151</v>
      </c>
      <c r="M25" s="59">
        <f t="shared" si="13"/>
        <v>69</v>
      </c>
      <c r="N25" s="6">
        <f t="shared" si="14"/>
        <v>0</v>
      </c>
      <c r="O25" s="6">
        <f t="shared" si="15"/>
        <v>0</v>
      </c>
      <c r="P25" s="12"/>
      <c r="Q25" s="60"/>
      <c r="R25" s="12"/>
    </row>
    <row r="26" spans="4:21" s="53" customFormat="1" ht="22.5" customHeight="1">
      <c r="D26" s="23" t="b">
        <f>AND($D$1=2,$D$7=1,'Impianti Titolo II'!$C$3&lt;=1000,'Impianti Titolo II'!$C$3&gt;200)</f>
        <v>0</v>
      </c>
      <c r="E26" s="29" t="s">
        <v>10</v>
      </c>
      <c r="F26" s="54">
        <v>130</v>
      </c>
      <c r="G26" s="55">
        <f t="shared" si="10"/>
        <v>48</v>
      </c>
      <c r="H26" s="102">
        <f t="shared" si="11"/>
        <v>0</v>
      </c>
      <c r="I26" s="102">
        <f t="shared" si="12"/>
        <v>0</v>
      </c>
      <c r="J26" s="23" t="b">
        <f>AND($D$1=2,$D$7=2,'Impianti Titolo II'!$C$3&lt;=1000,'Impianti Titolo II'!$C$3&gt;200)</f>
        <v>0</v>
      </c>
      <c r="K26" s="29" t="s">
        <v>10</v>
      </c>
      <c r="L26" s="54">
        <v>124</v>
      </c>
      <c r="M26" s="55">
        <f t="shared" si="13"/>
        <v>42</v>
      </c>
      <c r="N26" s="6">
        <f t="shared" si="14"/>
        <v>0</v>
      </c>
      <c r="O26" s="6">
        <f t="shared" si="15"/>
        <v>0</v>
      </c>
      <c r="Q26" s="56"/>
    </row>
    <row r="27" spans="4:21" s="57" customFormat="1" ht="15.75">
      <c r="D27" s="23" t="b">
        <f>AND($D$1=2,$D$7=1,'Impianti Titolo II'!$C$3&lt;=5000,'Impianti Titolo II'!$C$3&gt;1000)</f>
        <v>0</v>
      </c>
      <c r="E27" s="29" t="s">
        <v>11</v>
      </c>
      <c r="F27" s="58">
        <v>118</v>
      </c>
      <c r="G27" s="59">
        <f t="shared" si="10"/>
        <v>36</v>
      </c>
      <c r="H27" s="102">
        <f t="shared" si="11"/>
        <v>0</v>
      </c>
      <c r="I27" s="102">
        <f t="shared" si="12"/>
        <v>0</v>
      </c>
      <c r="J27" s="23" t="b">
        <f>AND($D$1=2,$D$7=2,'Impianti Titolo II'!$C$3&lt;=5000,'Impianti Titolo II'!$C$3&gt;1000)</f>
        <v>0</v>
      </c>
      <c r="K27" s="29" t="s">
        <v>11</v>
      </c>
      <c r="L27" s="58">
        <v>113</v>
      </c>
      <c r="M27" s="59">
        <f t="shared" si="13"/>
        <v>31</v>
      </c>
      <c r="N27" s="6">
        <f t="shared" si="14"/>
        <v>0</v>
      </c>
      <c r="O27" s="6">
        <f t="shared" si="15"/>
        <v>0</v>
      </c>
      <c r="Q27" s="60"/>
      <c r="R27" s="63">
        <f>SUM(R1:R26)</f>
        <v>40</v>
      </c>
    </row>
    <row r="28" spans="4:21" s="57" customFormat="1" ht="16.5" thickBot="1">
      <c r="D28" s="30" t="b">
        <f>AND($D$1=2,$D$7=1,'Impianti Titolo II'!$C$3&gt;=5000)</f>
        <v>0</v>
      </c>
      <c r="E28" s="39" t="s">
        <v>12</v>
      </c>
      <c r="F28" s="64">
        <v>112</v>
      </c>
      <c r="G28" s="65">
        <f t="shared" si="10"/>
        <v>30</v>
      </c>
      <c r="H28" s="102">
        <f t="shared" si="11"/>
        <v>0</v>
      </c>
      <c r="I28" s="102">
        <f t="shared" si="12"/>
        <v>0</v>
      </c>
      <c r="J28" s="30" t="b">
        <f>AND($D$1=2,$D$7=2,'Impianti Titolo II'!$C$3&gt;=5000)</f>
        <v>0</v>
      </c>
      <c r="K28" s="39" t="s">
        <v>12</v>
      </c>
      <c r="L28" s="64">
        <v>106</v>
      </c>
      <c r="M28" s="65">
        <f t="shared" si="13"/>
        <v>24</v>
      </c>
      <c r="N28" s="6">
        <f t="shared" si="14"/>
        <v>0</v>
      </c>
      <c r="O28" s="6">
        <f t="shared" si="15"/>
        <v>0</v>
      </c>
      <c r="Q28" s="60"/>
    </row>
    <row r="29" spans="4:21" s="57" customFormat="1" ht="16.5" thickBot="1">
      <c r="F29" s="60"/>
      <c r="G29" s="60"/>
      <c r="H29" s="66">
        <f>SUM(H23:H28)</f>
        <v>0</v>
      </c>
      <c r="I29" s="67">
        <f>SUM(I23:I28)</f>
        <v>0</v>
      </c>
      <c r="K29" s="60"/>
      <c r="L29" s="60"/>
      <c r="M29" s="60"/>
      <c r="N29" s="66">
        <f>SUM(N23:N28)</f>
        <v>0</v>
      </c>
      <c r="O29" s="66">
        <f>SUM(O23:O28)</f>
        <v>0</v>
      </c>
      <c r="Q29" s="60"/>
    </row>
    <row r="30" spans="4:21" s="57" customFormat="1" ht="15.75">
      <c r="Q30" s="68" t="s">
        <v>83</v>
      </c>
      <c r="S30" s="57">
        <f t="shared" ref="S30:S39" si="16">IF($R$41=T30,U30,0)</f>
        <v>0</v>
      </c>
      <c r="T30" s="57">
        <v>1</v>
      </c>
      <c r="U30" s="57">
        <v>10</v>
      </c>
    </row>
    <row r="31" spans="4:21" s="57" customFormat="1" ht="16.5" thickBot="1">
      <c r="Q31" s="68" t="s">
        <v>74</v>
      </c>
      <c r="S31" s="57">
        <f t="shared" si="16"/>
        <v>0</v>
      </c>
      <c r="T31" s="57">
        <v>2</v>
      </c>
      <c r="U31" s="57">
        <v>20</v>
      </c>
    </row>
    <row r="32" spans="4:21" s="57" customFormat="1" ht="15.75">
      <c r="D32" s="103"/>
      <c r="E32" s="104"/>
      <c r="F32" s="105" t="s">
        <v>2</v>
      </c>
      <c r="G32" s="106" t="s">
        <v>3</v>
      </c>
      <c r="H32" s="56"/>
      <c r="I32" s="56"/>
      <c r="J32" s="103"/>
      <c r="K32" s="104"/>
      <c r="L32" s="105" t="s">
        <v>2</v>
      </c>
      <c r="M32" s="106" t="s">
        <v>3</v>
      </c>
      <c r="N32" s="54"/>
      <c r="O32" s="54"/>
      <c r="Q32" s="68" t="s">
        <v>75</v>
      </c>
      <c r="S32" s="57">
        <f t="shared" si="16"/>
        <v>0</v>
      </c>
      <c r="T32" s="57">
        <v>3</v>
      </c>
      <c r="U32" s="57">
        <v>30</v>
      </c>
    </row>
    <row r="33" spans="4:21" s="57" customFormat="1" ht="15.75">
      <c r="D33" s="23" t="b">
        <f>AND($D$1=3,$D$7=1,'Impianti Titolo II'!$C$3&lt;=3,'Impianti Titolo II'!$C$3&gt;=1)</f>
        <v>0</v>
      </c>
      <c r="E33" s="29" t="s">
        <v>7</v>
      </c>
      <c r="F33" s="58">
        <v>157</v>
      </c>
      <c r="G33" s="59">
        <f t="shared" ref="G33:G38" si="17">F33-82</f>
        <v>75</v>
      </c>
      <c r="H33" s="102">
        <f t="shared" ref="H33:H38" si="18">IF(D33=TRUE,F33,0)</f>
        <v>0</v>
      </c>
      <c r="I33" s="102">
        <f t="shared" ref="I33:I38" si="19">IF(D33=TRUE,G33,0)</f>
        <v>0</v>
      </c>
      <c r="J33" s="23" t="b">
        <f>AND($D$1=3,$D$7=2,'Impianti Titolo II'!$C$3&lt;=3,'Impianti Titolo II'!$C$3&gt;=1)</f>
        <v>0</v>
      </c>
      <c r="K33" s="29" t="s">
        <v>7</v>
      </c>
      <c r="L33" s="58">
        <v>152</v>
      </c>
      <c r="M33" s="59">
        <f t="shared" ref="M33:M38" si="20">L33-82</f>
        <v>70</v>
      </c>
      <c r="N33" s="6">
        <f>IF(J33=TRUE,L33,0)</f>
        <v>0</v>
      </c>
      <c r="O33" s="6">
        <f>IF(J33=TRUE,M33,0)</f>
        <v>0</v>
      </c>
      <c r="Q33" s="68" t="s">
        <v>76</v>
      </c>
      <c r="S33" s="57">
        <f t="shared" si="16"/>
        <v>0</v>
      </c>
      <c r="T33" s="57">
        <v>4</v>
      </c>
      <c r="U33" s="57">
        <v>40</v>
      </c>
    </row>
    <row r="34" spans="4:21" s="57" customFormat="1" ht="15.75">
      <c r="D34" s="23" t="b">
        <f>AND($D$1=3,$D$7=1,'Impianti Titolo II'!$C$3&lt;=20,'Impianti Titolo II'!$C$3&gt;3)</f>
        <v>0</v>
      </c>
      <c r="E34" s="29" t="s">
        <v>8</v>
      </c>
      <c r="F34" s="58">
        <v>149</v>
      </c>
      <c r="G34" s="59">
        <f t="shared" si="17"/>
        <v>67</v>
      </c>
      <c r="H34" s="102">
        <f t="shared" si="18"/>
        <v>0</v>
      </c>
      <c r="I34" s="102">
        <f t="shared" si="19"/>
        <v>0</v>
      </c>
      <c r="J34" s="23" t="b">
        <f>AND($D$1=3,$D$7=2,'Impianti Titolo II'!$C$3&lt;=20,'Impianti Titolo II'!$C$3&gt;3)</f>
        <v>0</v>
      </c>
      <c r="K34" s="29" t="s">
        <v>8</v>
      </c>
      <c r="L34" s="58">
        <v>144</v>
      </c>
      <c r="M34" s="59">
        <f t="shared" si="20"/>
        <v>62</v>
      </c>
      <c r="N34" s="6">
        <f t="shared" ref="N34:N38" si="21">IF(J34=TRUE,L34,0)</f>
        <v>0</v>
      </c>
      <c r="O34" s="6">
        <f t="shared" ref="O34:O38" si="22">IF(J34=TRUE,M34,0)</f>
        <v>0</v>
      </c>
      <c r="Q34" s="68" t="s">
        <v>77</v>
      </c>
      <c r="S34" s="57">
        <f t="shared" si="16"/>
        <v>0</v>
      </c>
      <c r="T34" s="57">
        <v>5</v>
      </c>
      <c r="U34" s="57">
        <v>50</v>
      </c>
    </row>
    <row r="35" spans="4:21" ht="15.75">
      <c r="D35" s="23" t="b">
        <f>AND($D$1=3,$D$7=1,'Impianti Titolo II'!$C$3&lt;=200,'Impianti Titolo II'!$C$3&gt;20)</f>
        <v>0</v>
      </c>
      <c r="E35" s="29" t="s">
        <v>9</v>
      </c>
      <c r="F35" s="58">
        <v>141</v>
      </c>
      <c r="G35" s="59">
        <f t="shared" si="17"/>
        <v>59</v>
      </c>
      <c r="H35" s="102">
        <f t="shared" si="18"/>
        <v>0</v>
      </c>
      <c r="I35" s="102">
        <f t="shared" si="19"/>
        <v>0</v>
      </c>
      <c r="J35" s="23" t="b">
        <f>AND($D$1=3,$D$7=2,'Impianti Titolo II'!$C$3&lt;=200,'Impianti Titolo II'!$C$3&gt;20)</f>
        <v>0</v>
      </c>
      <c r="K35" s="29" t="s">
        <v>9</v>
      </c>
      <c r="L35" s="58">
        <v>136</v>
      </c>
      <c r="M35" s="59">
        <f t="shared" si="20"/>
        <v>54</v>
      </c>
      <c r="N35" s="6">
        <f t="shared" si="21"/>
        <v>0</v>
      </c>
      <c r="O35" s="6">
        <f t="shared" si="22"/>
        <v>0</v>
      </c>
      <c r="Q35" s="68" t="s">
        <v>78</v>
      </c>
      <c r="S35" s="57">
        <f t="shared" si="16"/>
        <v>0</v>
      </c>
      <c r="T35" s="57">
        <v>6</v>
      </c>
      <c r="U35" s="57">
        <v>60</v>
      </c>
    </row>
    <row r="36" spans="4:21" ht="15.75">
      <c r="D36" s="23" t="b">
        <f>AND($D$1=3,$D$7=1,'Impianti Titolo II'!$C$3&lt;=1000,'Impianti Titolo II'!$C$3&gt;200)</f>
        <v>0</v>
      </c>
      <c r="E36" s="29" t="s">
        <v>10</v>
      </c>
      <c r="F36" s="54">
        <v>118</v>
      </c>
      <c r="G36" s="55">
        <f t="shared" si="17"/>
        <v>36</v>
      </c>
      <c r="H36" s="102">
        <f t="shared" si="18"/>
        <v>0</v>
      </c>
      <c r="I36" s="102">
        <f t="shared" si="19"/>
        <v>0</v>
      </c>
      <c r="J36" s="23" t="b">
        <f>AND($D$1=3,$D$7=2,'Impianti Titolo II'!$C$3&lt;=1000,'Impianti Titolo II'!$C$3&gt;200)</f>
        <v>0</v>
      </c>
      <c r="K36" s="29" t="s">
        <v>10</v>
      </c>
      <c r="L36" s="54">
        <v>113</v>
      </c>
      <c r="M36" s="55">
        <f t="shared" si="20"/>
        <v>31</v>
      </c>
      <c r="N36" s="6">
        <f t="shared" si="21"/>
        <v>0</v>
      </c>
      <c r="O36" s="6">
        <f t="shared" si="22"/>
        <v>0</v>
      </c>
      <c r="Q36" s="68" t="s">
        <v>79</v>
      </c>
      <c r="S36" s="57">
        <f t="shared" si="16"/>
        <v>70</v>
      </c>
      <c r="T36" s="57">
        <v>7</v>
      </c>
      <c r="U36" s="57">
        <v>70</v>
      </c>
    </row>
    <row r="37" spans="4:21" ht="15.75">
      <c r="D37" s="23" t="b">
        <f>AND($D$1=3,$D$7=1,'Impianti Titolo II'!$C$3&lt;=5000,'Impianti Titolo II'!$C$3&gt;1000)</f>
        <v>0</v>
      </c>
      <c r="E37" s="29" t="s">
        <v>11</v>
      </c>
      <c r="F37" s="58">
        <v>110</v>
      </c>
      <c r="G37" s="59">
        <f t="shared" si="17"/>
        <v>28</v>
      </c>
      <c r="H37" s="102">
        <f t="shared" si="18"/>
        <v>0</v>
      </c>
      <c r="I37" s="102">
        <f t="shared" si="19"/>
        <v>0</v>
      </c>
      <c r="J37" s="23" t="b">
        <f>AND($D$1=3,$D$7=2,'Impianti Titolo II'!$C$3&lt;=5000,'Impianti Titolo II'!$C$3&gt;1000)</f>
        <v>0</v>
      </c>
      <c r="K37" s="29" t="s">
        <v>11</v>
      </c>
      <c r="L37" s="58">
        <v>106</v>
      </c>
      <c r="M37" s="59">
        <f t="shared" si="20"/>
        <v>24</v>
      </c>
      <c r="N37" s="6">
        <f t="shared" si="21"/>
        <v>0</v>
      </c>
      <c r="O37" s="6">
        <f t="shared" si="22"/>
        <v>0</v>
      </c>
      <c r="Q37" s="68" t="s">
        <v>80</v>
      </c>
      <c r="S37" s="57">
        <f t="shared" si="16"/>
        <v>0</v>
      </c>
      <c r="T37" s="57">
        <v>8</v>
      </c>
      <c r="U37" s="57">
        <v>80</v>
      </c>
    </row>
    <row r="38" spans="4:21" ht="16.5" thickBot="1">
      <c r="D38" s="30" t="b">
        <f>AND($D$1=3,$D$7=1,'Impianti Titolo II'!$C$3&gt;=5000)</f>
        <v>0</v>
      </c>
      <c r="E38" s="39" t="s">
        <v>12</v>
      </c>
      <c r="F38" s="64">
        <v>104</v>
      </c>
      <c r="G38" s="65">
        <f t="shared" si="17"/>
        <v>22</v>
      </c>
      <c r="H38" s="102">
        <f t="shared" si="18"/>
        <v>0</v>
      </c>
      <c r="I38" s="102">
        <f t="shared" si="19"/>
        <v>0</v>
      </c>
      <c r="J38" s="30" t="b">
        <f>AND($D$1=3,$D$7=2,'Impianti Titolo II'!$C$3&gt;=5000)</f>
        <v>0</v>
      </c>
      <c r="K38" s="39" t="s">
        <v>12</v>
      </c>
      <c r="L38" s="64">
        <v>99</v>
      </c>
      <c r="M38" s="65">
        <f t="shared" si="20"/>
        <v>17</v>
      </c>
      <c r="N38" s="6">
        <f t="shared" si="21"/>
        <v>0</v>
      </c>
      <c r="O38" s="6">
        <f t="shared" si="22"/>
        <v>0</v>
      </c>
      <c r="Q38" s="68" t="s">
        <v>81</v>
      </c>
      <c r="S38" s="57">
        <f t="shared" si="16"/>
        <v>0</v>
      </c>
      <c r="T38" s="57">
        <v>9</v>
      </c>
      <c r="U38" s="57">
        <v>90</v>
      </c>
    </row>
    <row r="39" spans="4:21" ht="16.5" thickBot="1">
      <c r="D39" s="57"/>
      <c r="E39" s="57"/>
      <c r="F39" s="60"/>
      <c r="G39" s="60"/>
      <c r="H39" s="66">
        <f>SUM(H33:H38)</f>
        <v>0</v>
      </c>
      <c r="I39" s="67">
        <f>SUM(I33:I38)</f>
        <v>0</v>
      </c>
      <c r="J39" s="57"/>
      <c r="K39" s="60"/>
      <c r="L39" s="60"/>
      <c r="M39" s="60"/>
      <c r="N39" s="66">
        <f>SUM(N33:N38)</f>
        <v>0</v>
      </c>
      <c r="O39" s="66">
        <f>SUM(O33:O38)</f>
        <v>0</v>
      </c>
      <c r="Q39" s="68" t="s">
        <v>82</v>
      </c>
      <c r="S39" s="57">
        <f t="shared" si="16"/>
        <v>0</v>
      </c>
      <c r="T39" s="57">
        <v>10</v>
      </c>
      <c r="U39" s="57">
        <v>100</v>
      </c>
    </row>
    <row r="40" spans="4:21" ht="15.75">
      <c r="D40" s="3"/>
      <c r="E40" s="3"/>
      <c r="F40" s="6"/>
      <c r="G40" s="6"/>
      <c r="H40" s="6"/>
      <c r="I40" s="6"/>
      <c r="J40" s="3"/>
      <c r="K40" s="6"/>
      <c r="L40" s="6"/>
      <c r="M40" s="6"/>
      <c r="N40" s="6"/>
      <c r="O40" s="6"/>
      <c r="Q40" s="68"/>
      <c r="S40" s="57"/>
    </row>
    <row r="41" spans="4:21" ht="15.75">
      <c r="Q41" s="68"/>
      <c r="R41" s="7">
        <v>7</v>
      </c>
      <c r="S41" s="107">
        <f>SUM(S30:S39)</f>
        <v>70</v>
      </c>
    </row>
    <row r="42" spans="4:21" ht="15.75">
      <c r="Q42" s="68"/>
      <c r="S42" s="57"/>
    </row>
    <row r="43" spans="4:21" ht="16.5" thickBot="1">
      <c r="Q43" s="68"/>
      <c r="S43" s="57"/>
    </row>
    <row r="44" spans="4:21" ht="15.75">
      <c r="D44" s="103"/>
      <c r="E44" s="104"/>
      <c r="F44" s="105" t="s">
        <v>2</v>
      </c>
      <c r="G44" s="106" t="s">
        <v>3</v>
      </c>
      <c r="H44" s="56"/>
      <c r="I44" s="56"/>
      <c r="J44" s="103"/>
      <c r="K44" s="104"/>
      <c r="L44" s="105" t="s">
        <v>2</v>
      </c>
      <c r="M44" s="106" t="s">
        <v>3</v>
      </c>
      <c r="N44" s="54"/>
      <c r="O44" s="54"/>
      <c r="P44" s="102"/>
      <c r="Q44" s="68"/>
      <c r="S44" s="57"/>
    </row>
    <row r="45" spans="4:21" ht="15.75">
      <c r="D45" s="23" t="b">
        <f>AND($D$1=4,$D$7=1,'Impianti Titolo II'!$C$3&lt;=3,'Impianti Titolo II'!$C$3&gt;=1)</f>
        <v>0</v>
      </c>
      <c r="E45" s="29" t="s">
        <v>7</v>
      </c>
      <c r="F45" s="58">
        <v>144</v>
      </c>
      <c r="G45" s="59">
        <f t="shared" ref="G45:G50" si="23">F45-82</f>
        <v>62</v>
      </c>
      <c r="H45" s="102">
        <f t="shared" ref="H45:H50" si="24">IF(D45=TRUE,F45,0)</f>
        <v>0</v>
      </c>
      <c r="I45" s="102">
        <f t="shared" ref="I45:I50" si="25">IF(D45=TRUE,G45,0)</f>
        <v>0</v>
      </c>
      <c r="J45" s="23" t="b">
        <f>AND($D$1=4,$D$7=2,'Impianti Titolo II'!$C$3&lt;=3,'Impianti Titolo II'!$C$3&gt;=1)</f>
        <v>0</v>
      </c>
      <c r="K45" s="29" t="s">
        <v>7</v>
      </c>
      <c r="L45" s="58">
        <v>140</v>
      </c>
      <c r="M45" s="59">
        <f t="shared" ref="M45:M50" si="26">L45-82</f>
        <v>58</v>
      </c>
      <c r="N45" s="6">
        <f>IF(J45=TRUE,L45,0)</f>
        <v>0</v>
      </c>
      <c r="O45" s="6">
        <f>IF(J45=TRUE,M45,0)</f>
        <v>0</v>
      </c>
      <c r="P45" s="102"/>
      <c r="Q45" s="68"/>
      <c r="S45" s="57"/>
    </row>
    <row r="46" spans="4:21" ht="15.75">
      <c r="D46" s="23" t="b">
        <f>AND($D$1=4,$D$7=1,'Impianti Titolo II'!$C$3&lt;=20,'Impianti Titolo II'!$C$3&gt;3)</f>
        <v>0</v>
      </c>
      <c r="E46" s="29" t="s">
        <v>8</v>
      </c>
      <c r="F46" s="58">
        <v>137</v>
      </c>
      <c r="G46" s="59">
        <f t="shared" si="23"/>
        <v>55</v>
      </c>
      <c r="H46" s="102">
        <f t="shared" si="24"/>
        <v>0</v>
      </c>
      <c r="I46" s="102">
        <f t="shared" si="25"/>
        <v>0</v>
      </c>
      <c r="J46" s="23" t="b">
        <f>AND($D$1=4,$D$7=2,'Impianti Titolo II'!$C$3&lt;=20,'Impianti Titolo II'!$C$3&gt;3)</f>
        <v>0</v>
      </c>
      <c r="K46" s="29" t="s">
        <v>8</v>
      </c>
      <c r="L46" s="58">
        <v>133</v>
      </c>
      <c r="M46" s="59">
        <f t="shared" si="26"/>
        <v>51</v>
      </c>
      <c r="N46" s="6">
        <f t="shared" ref="N46:N50" si="27">IF(J46=TRUE,L46,0)</f>
        <v>0</v>
      </c>
      <c r="O46" s="6">
        <f t="shared" ref="O46:O50" si="28">IF(J46=TRUE,M46,0)</f>
        <v>0</v>
      </c>
      <c r="Q46" s="68" t="s">
        <v>29</v>
      </c>
      <c r="S46" s="57"/>
    </row>
    <row r="47" spans="4:21" ht="15.75">
      <c r="D47" s="23" t="b">
        <f>AND($D$1=4,$D$7=1,'Impianti Titolo II'!$C$3&lt;=200,'Impianti Titolo II'!$C$3&gt;20)</f>
        <v>0</v>
      </c>
      <c r="E47" s="29" t="s">
        <v>9</v>
      </c>
      <c r="F47" s="58">
        <v>131</v>
      </c>
      <c r="G47" s="59">
        <f t="shared" si="23"/>
        <v>49</v>
      </c>
      <c r="H47" s="102">
        <f t="shared" si="24"/>
        <v>0</v>
      </c>
      <c r="I47" s="102">
        <f t="shared" si="25"/>
        <v>0</v>
      </c>
      <c r="J47" s="23" t="b">
        <f>AND($D$1=4,$D$7=2,'Impianti Titolo II'!$C$3&lt;=200,'Impianti Titolo II'!$C$3&gt;20)</f>
        <v>0</v>
      </c>
      <c r="K47" s="29" t="s">
        <v>9</v>
      </c>
      <c r="L47" s="58">
        <v>126</v>
      </c>
      <c r="M47" s="59">
        <f t="shared" si="26"/>
        <v>44</v>
      </c>
      <c r="N47" s="6">
        <f t="shared" si="27"/>
        <v>0</v>
      </c>
      <c r="O47" s="6">
        <f t="shared" si="28"/>
        <v>0</v>
      </c>
      <c r="Q47" s="68" t="s">
        <v>86</v>
      </c>
      <c r="S47" s="57"/>
    </row>
    <row r="48" spans="4:21" ht="15.75">
      <c r="D48" s="23" t="b">
        <f>AND($D$1=4,$D$7=1,'Impianti Titolo II'!$C$3&lt;=1000,'Impianti Titolo II'!$C$3&gt;200)</f>
        <v>0</v>
      </c>
      <c r="E48" s="29" t="s">
        <v>10</v>
      </c>
      <c r="F48" s="54">
        <v>111</v>
      </c>
      <c r="G48" s="55">
        <f t="shared" si="23"/>
        <v>29</v>
      </c>
      <c r="H48" s="102">
        <f t="shared" si="24"/>
        <v>0</v>
      </c>
      <c r="I48" s="102">
        <f t="shared" si="25"/>
        <v>0</v>
      </c>
      <c r="J48" s="23" t="b">
        <f>AND($D$1=4,$D$7=2,'Impianti Titolo II'!$C$3&lt;=1000,'Impianti Titolo II'!$C$3&gt;200)</f>
        <v>0</v>
      </c>
      <c r="K48" s="29" t="s">
        <v>10</v>
      </c>
      <c r="L48" s="54">
        <v>107</v>
      </c>
      <c r="M48" s="55">
        <f t="shared" si="26"/>
        <v>25</v>
      </c>
      <c r="N48" s="6">
        <f t="shared" si="27"/>
        <v>0</v>
      </c>
      <c r="O48" s="6">
        <f t="shared" si="28"/>
        <v>0</v>
      </c>
      <c r="Q48" s="68"/>
      <c r="S48" s="57"/>
    </row>
    <row r="49" spans="4:19" ht="15.75">
      <c r="D49" s="23" t="b">
        <f>AND($D$1=4,$D$7=1,'Impianti Titolo II'!$C$3&lt;=5000,'Impianti Titolo II'!$C$3&gt;1000)</f>
        <v>0</v>
      </c>
      <c r="E49" s="29" t="s">
        <v>11</v>
      </c>
      <c r="F49" s="58">
        <v>105</v>
      </c>
      <c r="G49" s="59">
        <f t="shared" si="23"/>
        <v>23</v>
      </c>
      <c r="H49" s="102">
        <f t="shared" si="24"/>
        <v>0</v>
      </c>
      <c r="I49" s="102">
        <f t="shared" si="25"/>
        <v>0</v>
      </c>
      <c r="J49" s="23" t="b">
        <f>AND($D$1=4,$D$7=2,'Impianti Titolo II'!$C$3&lt;=5000,'Impianti Titolo II'!$C$3&gt;1000)</f>
        <v>0</v>
      </c>
      <c r="K49" s="29" t="s">
        <v>11</v>
      </c>
      <c r="L49" s="58">
        <v>101</v>
      </c>
      <c r="M49" s="59">
        <f t="shared" si="26"/>
        <v>19</v>
      </c>
      <c r="N49" s="6">
        <f t="shared" si="27"/>
        <v>0</v>
      </c>
      <c r="O49" s="6">
        <f t="shared" si="28"/>
        <v>0</v>
      </c>
      <c r="Q49" s="68">
        <v>1</v>
      </c>
      <c r="S49" s="57"/>
    </row>
    <row r="50" spans="4:19" ht="16.5" thickBot="1">
      <c r="D50" s="30" t="b">
        <f>AND($D$1=4,$D$7=1,'Impianti Titolo II'!$C$3&gt;=5000)</f>
        <v>0</v>
      </c>
      <c r="E50" s="39" t="s">
        <v>12</v>
      </c>
      <c r="F50" s="64">
        <v>99</v>
      </c>
      <c r="G50" s="65">
        <f t="shared" si="23"/>
        <v>17</v>
      </c>
      <c r="H50" s="102">
        <f t="shared" si="24"/>
        <v>0</v>
      </c>
      <c r="I50" s="102">
        <f t="shared" si="25"/>
        <v>0</v>
      </c>
      <c r="J50" s="30" t="b">
        <f>AND($D$1=4,$D$7=2,'Impianti Titolo II'!$C$3&gt;=5000)</f>
        <v>0</v>
      </c>
      <c r="K50" s="39" t="s">
        <v>12</v>
      </c>
      <c r="L50" s="64">
        <v>95</v>
      </c>
      <c r="M50" s="65">
        <f t="shared" si="26"/>
        <v>13</v>
      </c>
      <c r="N50" s="6">
        <f t="shared" si="27"/>
        <v>0</v>
      </c>
      <c r="O50" s="6">
        <f t="shared" si="28"/>
        <v>0</v>
      </c>
    </row>
    <row r="51" spans="4:19" ht="16.5" thickBot="1">
      <c r="D51" s="57"/>
      <c r="E51" s="57"/>
      <c r="F51" s="60"/>
      <c r="G51" s="60"/>
      <c r="H51" s="66">
        <f>SUM(H45:H50)</f>
        <v>0</v>
      </c>
      <c r="I51" s="67">
        <f>SUM(I45:I50)</f>
        <v>0</v>
      </c>
      <c r="J51" s="57"/>
      <c r="K51" s="60"/>
      <c r="L51" s="60"/>
      <c r="M51" s="60"/>
      <c r="N51" s="66">
        <f>SUM(N45:N50)</f>
        <v>0</v>
      </c>
      <c r="O51" s="66">
        <f>SUM(O45:O50)</f>
        <v>0</v>
      </c>
    </row>
    <row r="52" spans="4:19">
      <c r="D52" s="3"/>
      <c r="E52" s="29"/>
      <c r="F52" s="6"/>
      <c r="G52" s="6"/>
      <c r="H52" s="6"/>
      <c r="I52" s="6"/>
      <c r="J52" s="3"/>
      <c r="K52" s="29"/>
      <c r="L52" s="6"/>
      <c r="M52" s="6"/>
      <c r="N52" s="6"/>
      <c r="O52" s="6"/>
    </row>
    <row r="53" spans="4:19">
      <c r="D53" s="3"/>
      <c r="E53" s="29"/>
      <c r="F53" s="6"/>
      <c r="G53" s="6"/>
      <c r="H53" s="6"/>
      <c r="I53" s="6"/>
      <c r="J53" s="3"/>
      <c r="K53" s="29"/>
      <c r="L53" s="6"/>
      <c r="M53" s="6"/>
      <c r="N53" s="6"/>
      <c r="O53" s="6"/>
    </row>
    <row r="54" spans="4:19">
      <c r="D54" s="3"/>
      <c r="E54" s="3"/>
      <c r="F54" s="6"/>
      <c r="G54" s="6"/>
      <c r="H54" s="6"/>
      <c r="I54" s="6"/>
      <c r="J54" s="3"/>
      <c r="K54" s="6"/>
      <c r="L54" s="6"/>
      <c r="M54" s="6"/>
      <c r="N54" s="6"/>
      <c r="O54" s="6"/>
    </row>
    <row r="55" spans="4:19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7" spans="4:19" ht="15.75" thickBot="1"/>
    <row r="58" spans="4:19" ht="15.75">
      <c r="D58" s="103"/>
      <c r="E58" s="104"/>
      <c r="F58" s="105" t="s">
        <v>2</v>
      </c>
      <c r="G58" s="106" t="s">
        <v>3</v>
      </c>
      <c r="H58" s="56"/>
      <c r="I58" s="56"/>
      <c r="J58" s="103"/>
      <c r="K58" s="104"/>
      <c r="L58" s="105" t="s">
        <v>2</v>
      </c>
      <c r="M58" s="106" t="s">
        <v>3</v>
      </c>
      <c r="N58" s="54"/>
      <c r="O58" s="54"/>
      <c r="P58" s="102"/>
    </row>
    <row r="59" spans="4:19" ht="15.75">
      <c r="D59" s="23" t="b">
        <f>AND($D$1=5,$D$7=1,'Impianti Titolo II'!$C$3&lt;=3,'Impianti Titolo II'!$C$3&gt;=1)</f>
        <v>0</v>
      </c>
      <c r="E59" s="29" t="s">
        <v>7</v>
      </c>
      <c r="F59" s="58">
        <v>133</v>
      </c>
      <c r="G59" s="59">
        <f t="shared" ref="G59:G64" si="29">F59-82</f>
        <v>51</v>
      </c>
      <c r="H59" s="60">
        <f t="shared" ref="H59:H64" si="30">IF(D59=TRUE,F59,0)</f>
        <v>0</v>
      </c>
      <c r="I59" s="102">
        <f t="shared" ref="I59:I64" si="31">IF(D59=TRUE,G59,0)</f>
        <v>0</v>
      </c>
      <c r="J59" s="23" t="b">
        <f>AND($D$1=5,$D$7=2,'Impianti Titolo II'!$C$3&lt;=3,'Impianti Titolo II'!$C$3&gt;=1)</f>
        <v>0</v>
      </c>
      <c r="K59" s="29" t="s">
        <v>7</v>
      </c>
      <c r="L59" s="58">
        <v>130</v>
      </c>
      <c r="M59" s="59">
        <f t="shared" ref="M59:M64" si="32">L59-82</f>
        <v>48</v>
      </c>
      <c r="N59" s="6">
        <f>IF(J59=TRUE,L59,0)</f>
        <v>0</v>
      </c>
      <c r="O59" s="6">
        <f>IF(J59=TRUE,M59,0)</f>
        <v>0</v>
      </c>
      <c r="P59" s="102"/>
    </row>
    <row r="60" spans="4:19" ht="15.75">
      <c r="D60" s="23" t="b">
        <f>AND($D$1=5,$D$7=1,'Impianti Titolo II'!$C$3&lt;=20,'Impianti Titolo II'!$C$3&gt;3)</f>
        <v>0</v>
      </c>
      <c r="E60" s="29" t="s">
        <v>8</v>
      </c>
      <c r="F60" s="58">
        <v>128</v>
      </c>
      <c r="G60" s="59">
        <f t="shared" si="29"/>
        <v>46</v>
      </c>
      <c r="H60" s="60">
        <f t="shared" si="30"/>
        <v>0</v>
      </c>
      <c r="I60" s="102">
        <f t="shared" si="31"/>
        <v>0</v>
      </c>
      <c r="J60" s="23" t="b">
        <f>AND($D$1=5,$D$7=2,'Impianti Titolo II'!$C$3&lt;=20,'Impianti Titolo II'!$C$3&gt;3)</f>
        <v>0</v>
      </c>
      <c r="K60" s="29" t="s">
        <v>8</v>
      </c>
      <c r="L60" s="58">
        <v>124</v>
      </c>
      <c r="M60" s="59">
        <f t="shared" si="32"/>
        <v>42</v>
      </c>
      <c r="N60" s="6">
        <f t="shared" ref="N60:N64" si="33">IF(J60=TRUE,L60,0)</f>
        <v>0</v>
      </c>
      <c r="O60" s="6">
        <f t="shared" ref="O60:O64" si="34">IF(J60=TRUE,M60,0)</f>
        <v>0</v>
      </c>
    </row>
    <row r="61" spans="4:19" ht="15.75">
      <c r="D61" s="23" t="b">
        <f>AND($D$1=5,$D$7=1,'Impianti Titolo II'!$C$3&lt;=200,'Impianti Titolo II'!$C$3&gt;20)</f>
        <v>0</v>
      </c>
      <c r="E61" s="29" t="s">
        <v>9</v>
      </c>
      <c r="F61" s="58">
        <v>122</v>
      </c>
      <c r="G61" s="59">
        <f t="shared" si="29"/>
        <v>40</v>
      </c>
      <c r="H61" s="60">
        <f t="shared" si="30"/>
        <v>0</v>
      </c>
      <c r="I61" s="102">
        <f t="shared" si="31"/>
        <v>0</v>
      </c>
      <c r="J61" s="23" t="b">
        <f>AND($D$1=5,$D$7=2,'Impianti Titolo II'!$C$3&lt;=200,'Impianti Titolo II'!$C$3&gt;20)</f>
        <v>0</v>
      </c>
      <c r="K61" s="29" t="s">
        <v>9</v>
      </c>
      <c r="L61" s="58">
        <v>118</v>
      </c>
      <c r="M61" s="59">
        <f t="shared" si="32"/>
        <v>36</v>
      </c>
      <c r="N61" s="6">
        <f t="shared" si="33"/>
        <v>0</v>
      </c>
      <c r="O61" s="6">
        <f t="shared" si="34"/>
        <v>0</v>
      </c>
    </row>
    <row r="62" spans="4:19" ht="15.75">
      <c r="D62" s="23" t="b">
        <f>AND($D$1=5,$D$7=1,'Impianti Titolo II'!$C$3&lt;=1000,'Impianti Titolo II'!$C$3&gt;200)</f>
        <v>0</v>
      </c>
      <c r="E62" s="29" t="s">
        <v>10</v>
      </c>
      <c r="F62" s="54">
        <v>106</v>
      </c>
      <c r="G62" s="55">
        <f t="shared" si="29"/>
        <v>24</v>
      </c>
      <c r="H62" s="56">
        <f t="shared" si="30"/>
        <v>0</v>
      </c>
      <c r="I62" s="102">
        <f t="shared" si="31"/>
        <v>0</v>
      </c>
      <c r="J62" s="23" t="b">
        <f>AND($D$1=5,$D$7=2,'Impianti Titolo II'!$C$3&lt;=1000,'Impianti Titolo II'!$C$3&gt;200)</f>
        <v>0</v>
      </c>
      <c r="K62" s="29" t="s">
        <v>10</v>
      </c>
      <c r="L62" s="54">
        <v>102</v>
      </c>
      <c r="M62" s="55">
        <f t="shared" si="32"/>
        <v>20</v>
      </c>
      <c r="N62" s="6">
        <f t="shared" si="33"/>
        <v>0</v>
      </c>
      <c r="O62" s="6">
        <f t="shared" si="34"/>
        <v>0</v>
      </c>
    </row>
    <row r="63" spans="4:19" ht="16.5" thickBot="1">
      <c r="D63" s="23" t="b">
        <f>AND($D$1=5,$D$7=1,'Impianti Titolo II'!$C$3&lt;=5000,'Impianti Titolo II'!$C$3&gt;1000)</f>
        <v>0</v>
      </c>
      <c r="E63" s="29" t="s">
        <v>11</v>
      </c>
      <c r="F63" s="58">
        <v>100</v>
      </c>
      <c r="G63" s="59">
        <f t="shared" si="29"/>
        <v>18</v>
      </c>
      <c r="H63" s="60">
        <f t="shared" si="30"/>
        <v>0</v>
      </c>
      <c r="I63" s="102">
        <f t="shared" si="31"/>
        <v>0</v>
      </c>
      <c r="J63" s="30" t="b">
        <f>AND($D$1=5,$D$7=2,'Impianti Titolo II'!$C$3&lt;=5000,'Impianti Titolo II'!$C$3&gt;1000)</f>
        <v>0</v>
      </c>
      <c r="K63" s="39" t="s">
        <v>11</v>
      </c>
      <c r="L63" s="64">
        <v>97</v>
      </c>
      <c r="M63" s="65">
        <f t="shared" si="32"/>
        <v>15</v>
      </c>
      <c r="N63" s="6">
        <f t="shared" si="33"/>
        <v>0</v>
      </c>
      <c r="O63" s="6">
        <f t="shared" si="34"/>
        <v>0</v>
      </c>
    </row>
    <row r="64" spans="4:19" ht="16.5" thickBot="1">
      <c r="D64" s="30" t="b">
        <f>AND($D$1=5,$D$7=1,'Impianti Titolo II'!$C$3&gt;=5000)</f>
        <v>0</v>
      </c>
      <c r="E64" s="39" t="s">
        <v>12</v>
      </c>
      <c r="F64" s="64">
        <v>95</v>
      </c>
      <c r="G64" s="65">
        <f t="shared" si="29"/>
        <v>13</v>
      </c>
      <c r="H64" s="60">
        <f t="shared" si="30"/>
        <v>0</v>
      </c>
      <c r="I64" s="102">
        <f t="shared" si="31"/>
        <v>0</v>
      </c>
      <c r="J64" s="23" t="b">
        <f>AND($D$1=5,$D$7=2,'Impianti Titolo II'!$C$3&gt;=5000)</f>
        <v>0</v>
      </c>
      <c r="K64" s="39" t="s">
        <v>12</v>
      </c>
      <c r="L64" s="64">
        <v>92</v>
      </c>
      <c r="M64" s="65">
        <f t="shared" si="32"/>
        <v>10</v>
      </c>
      <c r="N64" s="6">
        <f t="shared" si="33"/>
        <v>0</v>
      </c>
      <c r="O64" s="6">
        <f t="shared" si="34"/>
        <v>0</v>
      </c>
    </row>
    <row r="65" spans="3:23" ht="15.75">
      <c r="D65" s="57"/>
      <c r="E65" s="57"/>
      <c r="F65" s="60"/>
      <c r="G65" s="60"/>
      <c r="H65" s="80">
        <f>SUM(H59:H64)</f>
        <v>0</v>
      </c>
      <c r="I65" s="81">
        <f>SUM(I59:I64)</f>
        <v>0</v>
      </c>
      <c r="J65" s="60"/>
      <c r="K65" s="60"/>
      <c r="L65" s="60"/>
      <c r="M65" s="60"/>
      <c r="N65" s="80">
        <f>SUM(N59:N64)</f>
        <v>0</v>
      </c>
      <c r="O65" s="80">
        <f>SUM(O59:O64)</f>
        <v>0</v>
      </c>
    </row>
    <row r="66" spans="3:23">
      <c r="D66" s="3"/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3"/>
      <c r="Q66" s="6"/>
      <c r="R66" s="3"/>
    </row>
    <row r="67" spans="3:23">
      <c r="D67" s="129">
        <f>IF($D$73&gt;1,'Impianti Titolo II'!E50+'Impianti Titolo II'!E51-'Impianti Titolo II'!E55,0)</f>
        <v>5474.7999999999993</v>
      </c>
      <c r="E67" s="129">
        <f>IF($D$73&gt;1,'Impianti Titolo II'!F50+'Impianti Titolo II'!F51-'Impianti Titolo II'!F55,0)</f>
        <v>1112.3639999999996</v>
      </c>
      <c r="F67" s="129">
        <f>IF($D$73&gt;1,'Impianti Titolo II'!G50+'Impianti Titolo II'!G51-'Impianti Titolo II'!G55,0)</f>
        <v>962.01682799999617</v>
      </c>
      <c r="G67" s="129">
        <f>IF($D$73&gt;1,'Impianti Titolo II'!H50+'Impianti Titolo II'!H51-'Impianti Titolo II'!H55,0)</f>
        <v>811.73238262799714</v>
      </c>
      <c r="H67" s="129">
        <f>IF($D$73&gt;1,'Impianti Titolo II'!I50+'Impianti Titolo II'!I51-'Impianti Titolo II'!I55,0)</f>
        <v>661.48429138594292</v>
      </c>
      <c r="I67" s="129">
        <f>IF($D$73&gt;1,'Impianti Titolo II'!J50+'Impianti Titolo II'!J51-'Impianti Titolo II'!J55,0)</f>
        <v>511.24590296910173</v>
      </c>
      <c r="J67" s="129">
        <f>IF($D$73&gt;1,'Impianti Titolo II'!K50+'Impianti Titolo II'!K51-'Impianti Titolo II'!K55,0)</f>
        <v>360.99027945212401</v>
      </c>
      <c r="K67" s="129">
        <f>IF($D$73&gt;1,'Impianti Titolo II'!L50+'Impianti Titolo II'!L51-'Impianti Titolo II'!L55,0)</f>
        <v>210.69018833899463</v>
      </c>
      <c r="L67" s="129">
        <f>IF($D$73&gt;1,'Impianti Titolo II'!M50+'Impianti Titolo II'!M51-'Impianti Titolo II'!M55,0)</f>
        <v>60.318094473921519</v>
      </c>
      <c r="M67" s="129">
        <f>IF($D$73&gt;1,'Impianti Titolo II'!N50+'Impianti Titolo II'!N51-'Impianti Titolo II'!N55,0)</f>
        <v>-90.153848189767814</v>
      </c>
      <c r="N67" s="129">
        <f>IF($D$73&gt;1,'Impianti Titolo II'!O50+'Impianti Titolo II'!O51-'Impianti Titolo II'!O55,0)</f>
        <v>-240.75380496575053</v>
      </c>
      <c r="O67" s="129">
        <f>IF($D$73&gt;1,'Impianti Titolo II'!P50+'Impianti Titolo II'!P51-'Impianti Titolo II'!P55,0)</f>
        <v>2884.4897310410561</v>
      </c>
      <c r="P67" s="129">
        <f>IF($D$73&gt;1,'Impianti Titolo II'!Q50+'Impianti Titolo II'!Q51-'Impianti Titolo II'!Q55,0)</f>
        <v>7881.5479302590447</v>
      </c>
      <c r="Q67" s="129">
        <f>IF($D$73&gt;1,'Impianti Titolo II'!R50+'Impianti Titolo II'!R51-'Impianti Titolo II'!R55,0)</f>
        <v>7730.391617820017</v>
      </c>
      <c r="R67" s="129">
        <f>IF($D$73&gt;1,'Impianti Titolo II'!S50+'Impianti Titolo II'!S51-'Impianti Titolo II'!S55,0)</f>
        <v>7578.9912645716086</v>
      </c>
      <c r="S67" s="129">
        <f>IF($D$73&gt;1,'Impianti Titolo II'!T50+'Impianti Titolo II'!T51-'Impianti Titolo II'!T55,0)</f>
        <v>7427.3169779286736</v>
      </c>
      <c r="T67" s="129">
        <f>IF($D$73&gt;1,'Impianti Titolo II'!U50+'Impianti Titolo II'!U51-'Impianti Titolo II'!U55,0)</f>
        <v>7275.3384925602904</v>
      </c>
      <c r="U67" s="129">
        <f>IF($D$73&gt;1,'Impianti Titolo II'!V50+'Impianti Titolo II'!V51-'Impianti Titolo II'!V55,0)</f>
        <v>7123.0251609088809</v>
      </c>
      <c r="V67" s="129">
        <f>IF($D$73&gt;1,'Impianti Titolo II'!W50+'Impianti Titolo II'!W51-'Impianti Titolo II'!W55,0)</f>
        <v>6970.3459435379682</v>
      </c>
      <c r="W67" s="129">
        <f>IF($D$73&gt;1,'Impianti Titolo II'!X50+'Impianti Titolo II'!X51-'Impianti Titolo II'!X55,0)</f>
        <v>6817.2693993049397</v>
      </c>
    </row>
    <row r="68" spans="3:23">
      <c r="H68" s="79"/>
      <c r="I68" s="79"/>
      <c r="N68" s="79"/>
      <c r="O68" s="79"/>
    </row>
    <row r="70" spans="3:23">
      <c r="D70" s="7" t="s">
        <v>108</v>
      </c>
    </row>
    <row r="71" spans="3:23">
      <c r="D71" s="7" t="s">
        <v>109</v>
      </c>
    </row>
    <row r="72" spans="3:23">
      <c r="D72" s="7" t="s">
        <v>110</v>
      </c>
    </row>
    <row r="73" spans="3:23">
      <c r="D73" s="114">
        <v>3</v>
      </c>
    </row>
    <row r="75" spans="3:23">
      <c r="D75" s="7" t="s">
        <v>100</v>
      </c>
      <c r="F75" s="7">
        <f>'Impianti Titolo II'!C3*'Impianti Titolo II'!C32</f>
        <v>93600</v>
      </c>
    </row>
    <row r="76" spans="3:23">
      <c r="D76" s="7" t="s">
        <v>99</v>
      </c>
      <c r="F76" s="7">
        <f>IF(D73&gt;1,('Impianti Titolo II'!C32*'Impianti Titolo II'!C3)/100*'Impianti Titolo II'!$K$8,0)</f>
        <v>8424</v>
      </c>
    </row>
    <row r="78" spans="3:23">
      <c r="D78" s="129">
        <f>$F$75</f>
        <v>93600</v>
      </c>
      <c r="E78" s="129">
        <f>$F$75</f>
        <v>93600</v>
      </c>
      <c r="F78" s="129">
        <f>$F$75</f>
        <v>93600</v>
      </c>
      <c r="G78" s="129">
        <f t="shared" ref="G78:W78" si="35">$F$75</f>
        <v>93600</v>
      </c>
      <c r="H78" s="129">
        <f t="shared" si="35"/>
        <v>93600</v>
      </c>
      <c r="I78" s="129">
        <f t="shared" si="35"/>
        <v>93600</v>
      </c>
      <c r="J78" s="129">
        <f t="shared" si="35"/>
        <v>93600</v>
      </c>
      <c r="K78" s="129">
        <f t="shared" si="35"/>
        <v>93600</v>
      </c>
      <c r="L78" s="129">
        <f t="shared" si="35"/>
        <v>93600</v>
      </c>
      <c r="M78" s="129">
        <f t="shared" si="35"/>
        <v>93600</v>
      </c>
      <c r="N78" s="129">
        <f t="shared" si="35"/>
        <v>93600</v>
      </c>
      <c r="O78" s="129">
        <f t="shared" si="35"/>
        <v>93600</v>
      </c>
      <c r="P78" s="129">
        <f t="shared" si="35"/>
        <v>93600</v>
      </c>
      <c r="Q78" s="129">
        <f t="shared" si="35"/>
        <v>93600</v>
      </c>
      <c r="R78" s="129">
        <f t="shared" si="35"/>
        <v>93600</v>
      </c>
      <c r="S78" s="129">
        <f t="shared" si="35"/>
        <v>93600</v>
      </c>
      <c r="T78" s="129">
        <f t="shared" si="35"/>
        <v>93600</v>
      </c>
      <c r="U78" s="129">
        <f t="shared" si="35"/>
        <v>93600</v>
      </c>
      <c r="V78" s="129">
        <f t="shared" si="35"/>
        <v>93600</v>
      </c>
      <c r="W78" s="129">
        <f t="shared" si="35"/>
        <v>93600</v>
      </c>
    </row>
    <row r="79" spans="3:23">
      <c r="C79" s="129"/>
      <c r="D79" s="129">
        <f>$F$75/100*'Impianti Titolo II'!$K$8/2</f>
        <v>4212</v>
      </c>
      <c r="E79" s="129">
        <f>D79+$F$76</f>
        <v>12636</v>
      </c>
      <c r="F79" s="129">
        <f t="shared" ref="F79:W79" si="36">E79+$F$76</f>
        <v>21060</v>
      </c>
      <c r="G79" s="129">
        <f t="shared" si="36"/>
        <v>29484</v>
      </c>
      <c r="H79" s="129">
        <f t="shared" si="36"/>
        <v>37908</v>
      </c>
      <c r="I79" s="129">
        <f t="shared" si="36"/>
        <v>46332</v>
      </c>
      <c r="J79" s="129">
        <f t="shared" si="36"/>
        <v>54756</v>
      </c>
      <c r="K79" s="129">
        <f t="shared" si="36"/>
        <v>63180</v>
      </c>
      <c r="L79" s="129">
        <f t="shared" si="36"/>
        <v>71604</v>
      </c>
      <c r="M79" s="129">
        <f t="shared" si="36"/>
        <v>80028</v>
      </c>
      <c r="N79" s="129">
        <f t="shared" si="36"/>
        <v>88452</v>
      </c>
      <c r="O79" s="129">
        <f t="shared" si="36"/>
        <v>96876</v>
      </c>
      <c r="P79" s="129">
        <f t="shared" si="36"/>
        <v>105300</v>
      </c>
      <c r="Q79" s="129">
        <f t="shared" si="36"/>
        <v>113724</v>
      </c>
      <c r="R79" s="129">
        <f t="shared" si="36"/>
        <v>122148</v>
      </c>
      <c r="S79" s="129">
        <f t="shared" si="36"/>
        <v>130572</v>
      </c>
      <c r="T79" s="129">
        <f t="shared" si="36"/>
        <v>138996</v>
      </c>
      <c r="U79" s="129">
        <f t="shared" si="36"/>
        <v>147420</v>
      </c>
      <c r="V79" s="129">
        <f t="shared" si="36"/>
        <v>155844</v>
      </c>
      <c r="W79" s="129">
        <f t="shared" si="36"/>
        <v>164268</v>
      </c>
    </row>
    <row r="80" spans="3:23"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</row>
    <row r="81" spans="3:23"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30"/>
      <c r="R81" s="129"/>
      <c r="S81" s="129"/>
      <c r="T81" s="129"/>
      <c r="U81" s="129"/>
      <c r="V81" s="129"/>
      <c r="W81" s="129"/>
    </row>
    <row r="82" spans="3:23">
      <c r="D82" s="129">
        <f>IF(D79&lt;D78,1,0)</f>
        <v>1</v>
      </c>
      <c r="E82" s="129">
        <f t="shared" ref="E82:W82" si="37">IF(E79&lt;E78,1,0)</f>
        <v>1</v>
      </c>
      <c r="F82" s="129">
        <f t="shared" si="37"/>
        <v>1</v>
      </c>
      <c r="G82" s="129">
        <f t="shared" si="37"/>
        <v>1</v>
      </c>
      <c r="H82" s="129">
        <f t="shared" si="37"/>
        <v>1</v>
      </c>
      <c r="I82" s="129">
        <f t="shared" si="37"/>
        <v>1</v>
      </c>
      <c r="J82" s="129">
        <f t="shared" si="37"/>
        <v>1</v>
      </c>
      <c r="K82" s="129">
        <f t="shared" si="37"/>
        <v>1</v>
      </c>
      <c r="L82" s="129">
        <f t="shared" si="37"/>
        <v>1</v>
      </c>
      <c r="M82" s="129">
        <f t="shared" si="37"/>
        <v>1</v>
      </c>
      <c r="N82" s="129">
        <f t="shared" si="37"/>
        <v>1</v>
      </c>
      <c r="O82" s="129">
        <f t="shared" si="37"/>
        <v>0</v>
      </c>
      <c r="P82" s="129">
        <f t="shared" si="37"/>
        <v>0</v>
      </c>
      <c r="Q82" s="129">
        <f t="shared" si="37"/>
        <v>0</v>
      </c>
      <c r="R82" s="129">
        <f t="shared" si="37"/>
        <v>0</v>
      </c>
      <c r="S82" s="129">
        <f t="shared" si="37"/>
        <v>0</v>
      </c>
      <c r="T82" s="129">
        <f t="shared" si="37"/>
        <v>0</v>
      </c>
      <c r="U82" s="129">
        <f t="shared" si="37"/>
        <v>0</v>
      </c>
      <c r="V82" s="129">
        <f t="shared" si="37"/>
        <v>0</v>
      </c>
      <c r="W82" s="129">
        <f t="shared" si="37"/>
        <v>0</v>
      </c>
    </row>
    <row r="83" spans="3:23">
      <c r="D83" s="129">
        <f>IF('Calcoli Titolo II'!$D$73&gt;1,'Calcoli Titolo II'!$F$76/2,0)</f>
        <v>4212</v>
      </c>
      <c r="E83" s="129">
        <f>IF('Calcoli Titolo II'!$D$73&gt;1,'Calcoli Titolo II'!$F$76,0)</f>
        <v>8424</v>
      </c>
      <c r="F83" s="129">
        <f>IF('Calcoli Titolo II'!$D$73&gt;1,'Calcoli Titolo II'!$F$76,0)</f>
        <v>8424</v>
      </c>
      <c r="G83" s="129">
        <f>IF('Calcoli Titolo II'!$D$73&gt;1,'Calcoli Titolo II'!$F$76,0)</f>
        <v>8424</v>
      </c>
      <c r="H83" s="129">
        <f>IF('Calcoli Titolo II'!$D$73&gt;1,'Calcoli Titolo II'!$F$76,0)</f>
        <v>8424</v>
      </c>
      <c r="I83" s="129">
        <f>IF('Calcoli Titolo II'!$D$73&gt;1,'Calcoli Titolo II'!$F$76,0)</f>
        <v>8424</v>
      </c>
      <c r="J83" s="129">
        <f>IF('Calcoli Titolo II'!$D$73&gt;1,'Calcoli Titolo II'!$F$76,0)</f>
        <v>8424</v>
      </c>
      <c r="K83" s="129">
        <f>IF('Calcoli Titolo II'!$D$73&gt;1,'Calcoli Titolo II'!$F$76,0)</f>
        <v>8424</v>
      </c>
      <c r="L83" s="129">
        <f>IF('Calcoli Titolo II'!$D$73&gt;1,'Calcoli Titolo II'!$F$76,0)</f>
        <v>8424</v>
      </c>
      <c r="M83" s="129">
        <f>IF('Calcoli Titolo II'!$D$73&gt;1,'Calcoli Titolo II'!$F$76,0)</f>
        <v>8424</v>
      </c>
      <c r="N83" s="129">
        <f>IF('Calcoli Titolo II'!$D$73&gt;1,'Calcoli Titolo II'!$F$76,0)</f>
        <v>8424</v>
      </c>
      <c r="O83" s="129">
        <f>IF('Calcoli Titolo II'!$D$73&gt;1,'Calcoli Titolo II'!$F$76,0)</f>
        <v>8424</v>
      </c>
      <c r="P83" s="129">
        <f>IF('Calcoli Titolo II'!$D$73&gt;1,'Calcoli Titolo II'!$F$76,0)</f>
        <v>8424</v>
      </c>
      <c r="Q83" s="129">
        <f>IF('Calcoli Titolo II'!$D$73&gt;1,'Calcoli Titolo II'!$F$76,0)</f>
        <v>8424</v>
      </c>
      <c r="R83" s="129">
        <f>IF('Calcoli Titolo II'!$D$73&gt;1,'Calcoli Titolo II'!$F$76,0)</f>
        <v>8424</v>
      </c>
      <c r="S83" s="129">
        <f>IF('Calcoli Titolo II'!$D$73&gt;1,'Calcoli Titolo II'!$F$76,0)</f>
        <v>8424</v>
      </c>
      <c r="T83" s="129">
        <f>IF('Calcoli Titolo II'!$D$73&gt;1,'Calcoli Titolo II'!$F$76,0)</f>
        <v>8424</v>
      </c>
      <c r="U83" s="129">
        <f>IF('Calcoli Titolo II'!$D$73&gt;1,'Calcoli Titolo II'!$F$76,0)</f>
        <v>8424</v>
      </c>
      <c r="V83" s="129">
        <f>IF('Calcoli Titolo II'!$D$73&gt;1,'Calcoli Titolo II'!$F$76,0)</f>
        <v>8424</v>
      </c>
      <c r="W83" s="129">
        <f>IF('Calcoli Titolo II'!$D$73&gt;1,'Calcoli Titolo II'!$F$76,0)</f>
        <v>8424</v>
      </c>
    </row>
    <row r="84" spans="3:23" ht="10.5" customHeight="1"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30"/>
      <c r="R84" s="129"/>
      <c r="S84" s="129"/>
      <c r="T84" s="129"/>
      <c r="U84" s="129"/>
      <c r="V84" s="129"/>
      <c r="W84" s="129"/>
    </row>
    <row r="85" spans="3:23">
      <c r="D85" s="129">
        <f>IF(D82=1,D83,0)</f>
        <v>4212</v>
      </c>
      <c r="E85" s="129">
        <f>IF(E82=1,E83,$F$75-(D85))</f>
        <v>8424</v>
      </c>
      <c r="F85" s="129">
        <f>IF(F82=1,F83,$F$75-(E85+D85))</f>
        <v>8424</v>
      </c>
      <c r="G85" s="129">
        <f>IF(G82=1,G83,$F$75-(F85+E85+D85))</f>
        <v>8424</v>
      </c>
      <c r="H85" s="129">
        <f>IF(H82=1,H83,$F$75-(G85+F85+E85+D85))</f>
        <v>8424</v>
      </c>
      <c r="I85" s="129">
        <f>IF(I82=1,I83,$F$75-(H85+G85+F85+E85+D85))</f>
        <v>8424</v>
      </c>
      <c r="J85" s="129">
        <f>IF(J82=1,J83,$F$75-(I85+H85+G85+F85+E85+D85))</f>
        <v>8424</v>
      </c>
      <c r="K85" s="129">
        <f>IF(K82=1,K83,$F$75-(J85+I85+H85+G85+F85+E85+D85))</f>
        <v>8424</v>
      </c>
      <c r="L85" s="129">
        <f>IF(L82=1,L83,$F$75-(K85+J85+I85+H85+G85+F85+E85+D85))</f>
        <v>8424</v>
      </c>
      <c r="M85" s="129">
        <f>IF(M82=1,M83,$F$75-(L85+K85+J85+I85+H85+G85+F85+E85+D85))</f>
        <v>8424</v>
      </c>
      <c r="N85" s="129">
        <f>IF(N82=1,N83,$F$75-(M85+L85+K85+J85+I85+H85+G85+F85+E85+D85))</f>
        <v>8424</v>
      </c>
      <c r="O85" s="129">
        <f>IF(O82=1,O83,$F$75-(N85+M85+L85+K85+J85+I85+H85+G85+F85+E85+D85))</f>
        <v>5148</v>
      </c>
      <c r="P85" s="129">
        <f>IF(P82=1,P83,$F$75-(O85+N85+M85+L85+K85+J85+I85+H85+G85+F85+E85+D85))</f>
        <v>0</v>
      </c>
      <c r="Q85" s="129">
        <f>IF(Q82=1,Q83,$F$75-(P85+O85+N85+M85+L85+K85+J85+I85+H85+G85+F85+E85+D85))</f>
        <v>0</v>
      </c>
      <c r="R85" s="129">
        <f>IF(R82=1,R83,$F$75-(Q85+P85+O85+N85+M85+L85+K85+J85+I85+H85+G85+F85+E85+D85))</f>
        <v>0</v>
      </c>
      <c r="S85" s="129">
        <f>IF(S82=1,S83,$F$75-(R85+Q85+P85+O85+N85+M85+L85+K85+J85+I85+H85+G85+F85+E85+D85))</f>
        <v>0</v>
      </c>
      <c r="T85" s="129">
        <f>IF(T82=1,T83,$F$75-(S85+R85+Q85+P85+O85+N85+M85+L85+K85+J85+I85+H85+G85+F85+E85+D85))</f>
        <v>0</v>
      </c>
      <c r="U85" s="129">
        <f>IF(U82=1,U83,$F$75-(T85+S85+R85+Q85+P85+O85+N85+M85+L85+K85+J85+I85+H85+G85+F85+E85+D85))</f>
        <v>0</v>
      </c>
      <c r="V85" s="129">
        <f>IF(V82=1,V83,$F$75-(U85+T85+S85+R85+Q85+P85+O85+N85+M85+L85+K85+J85+I85+H85+G85+F85+E85+D85))</f>
        <v>0</v>
      </c>
      <c r="W85" s="129">
        <f>IF(W82=1,W83,$F$75-(V85+U85+T85+S85+R85+Q85+P85+O85+N85+M85+L85+K85+J85+I85+H85+G85+F85+E85+D85))</f>
        <v>0</v>
      </c>
    </row>
    <row r="87" spans="3:23">
      <c r="N87" s="129"/>
      <c r="O87" s="129"/>
    </row>
    <row r="88" spans="3:23">
      <c r="F88" s="129"/>
    </row>
    <row r="89" spans="3:23">
      <c r="D89" s="129">
        <f>'Impianti Titolo II'!E56</f>
        <v>5474.7999999999993</v>
      </c>
      <c r="E89" s="129">
        <f>'Impianti Titolo II'!F56</f>
        <v>1112.3639999999996</v>
      </c>
      <c r="F89" s="129">
        <f>'Impianti Titolo II'!G56</f>
        <v>962.01682799999617</v>
      </c>
      <c r="G89" s="129">
        <f>'Impianti Titolo II'!H56</f>
        <v>811.73238262799714</v>
      </c>
      <c r="H89" s="129">
        <f>'Impianti Titolo II'!I56</f>
        <v>661.48429138594292</v>
      </c>
      <c r="I89" s="129">
        <f>'Impianti Titolo II'!J56</f>
        <v>511.24590296910173</v>
      </c>
      <c r="J89" s="129">
        <f>'Impianti Titolo II'!K56</f>
        <v>360.99027945212401</v>
      </c>
      <c r="K89" s="129">
        <f>'Impianti Titolo II'!L56</f>
        <v>210.69018833899463</v>
      </c>
      <c r="L89" s="129">
        <f>'Impianti Titolo II'!M56</f>
        <v>60.318094473921519</v>
      </c>
      <c r="M89" s="129">
        <f>'Impianti Titolo II'!N56</f>
        <v>0</v>
      </c>
      <c r="N89" s="129">
        <f>'Impianti Titolo II'!O56</f>
        <v>0</v>
      </c>
      <c r="O89" s="129">
        <f>'Impianti Titolo II'!P56</f>
        <v>2884.4897310410561</v>
      </c>
      <c r="P89" s="129">
        <f>'Impianti Titolo II'!Q56</f>
        <v>7881.5479302590447</v>
      </c>
      <c r="Q89" s="129">
        <f>'Impianti Titolo II'!R56</f>
        <v>7730.391617820017</v>
      </c>
      <c r="R89" s="129">
        <f>'Impianti Titolo II'!S56</f>
        <v>7578.9912645716086</v>
      </c>
      <c r="S89" s="129">
        <f>'Impianti Titolo II'!T56</f>
        <v>7427.3169779286736</v>
      </c>
      <c r="T89" s="129">
        <f>'Impianti Titolo II'!U56</f>
        <v>7275.3384925602904</v>
      </c>
      <c r="U89" s="129">
        <f>'Impianti Titolo II'!V56</f>
        <v>7123.0251609088809</v>
      </c>
      <c r="V89" s="129">
        <f>'Impianti Titolo II'!W56</f>
        <v>6970.3459435379682</v>
      </c>
      <c r="W89" s="129">
        <f>'Impianti Titolo II'!X56</f>
        <v>6817.2693993049397</v>
      </c>
    </row>
    <row r="90" spans="3:23"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</row>
    <row r="91" spans="3:23">
      <c r="C91" s="7" t="s">
        <v>125</v>
      </c>
      <c r="D91" s="130" t="b">
        <f>AND(D89&lt;15000)</f>
        <v>1</v>
      </c>
      <c r="E91" s="130" t="b">
        <f t="shared" ref="E91:W91" si="38">AND(E89&lt;15000)</f>
        <v>1</v>
      </c>
      <c r="F91" s="130" t="b">
        <f t="shared" si="38"/>
        <v>1</v>
      </c>
      <c r="G91" s="130" t="b">
        <f t="shared" si="38"/>
        <v>1</v>
      </c>
      <c r="H91" s="130" t="b">
        <f t="shared" si="38"/>
        <v>1</v>
      </c>
      <c r="I91" s="130" t="b">
        <f t="shared" si="38"/>
        <v>1</v>
      </c>
      <c r="J91" s="130" t="b">
        <f t="shared" si="38"/>
        <v>1</v>
      </c>
      <c r="K91" s="130" t="b">
        <f t="shared" si="38"/>
        <v>1</v>
      </c>
      <c r="L91" s="130" t="b">
        <f t="shared" si="38"/>
        <v>1</v>
      </c>
      <c r="M91" s="130" t="b">
        <f t="shared" si="38"/>
        <v>1</v>
      </c>
      <c r="N91" s="130" t="b">
        <f t="shared" si="38"/>
        <v>1</v>
      </c>
      <c r="O91" s="130" t="b">
        <f t="shared" si="38"/>
        <v>1</v>
      </c>
      <c r="P91" s="130" t="b">
        <f t="shared" si="38"/>
        <v>1</v>
      </c>
      <c r="Q91" s="130" t="b">
        <f t="shared" si="38"/>
        <v>1</v>
      </c>
      <c r="R91" s="130" t="b">
        <f t="shared" si="38"/>
        <v>1</v>
      </c>
      <c r="S91" s="130" t="b">
        <f t="shared" si="38"/>
        <v>1</v>
      </c>
      <c r="T91" s="130" t="b">
        <f t="shared" si="38"/>
        <v>1</v>
      </c>
      <c r="U91" s="130" t="b">
        <f t="shared" si="38"/>
        <v>1</v>
      </c>
      <c r="V91" s="130" t="b">
        <f t="shared" si="38"/>
        <v>1</v>
      </c>
      <c r="W91" s="130" t="b">
        <f t="shared" si="38"/>
        <v>1</v>
      </c>
    </row>
    <row r="92" spans="3:23">
      <c r="C92" s="129"/>
      <c r="D92" s="130">
        <f>IF(D91=TRUE,D89/100*'Impianti Titolo II'!$L$10,0)</f>
        <v>1259.2039999999997</v>
      </c>
      <c r="E92" s="130">
        <f>IF(E91=TRUE,E89/100*'Impianti Titolo II'!$L$10,0)</f>
        <v>255.84371999999991</v>
      </c>
      <c r="F92" s="130">
        <f>IF(F91=TRUE,F89/100*'Impianti Titolo II'!$L$10,0)</f>
        <v>221.26387043999912</v>
      </c>
      <c r="G92" s="130">
        <f>IF(G91=TRUE,G89/100*'Impianti Titolo II'!$L$10,0)</f>
        <v>186.69844800443934</v>
      </c>
      <c r="H92" s="130">
        <f>IF(H91=TRUE,H89/100*'Impianti Titolo II'!$L$10,0)</f>
        <v>152.14138701876686</v>
      </c>
      <c r="I92" s="130">
        <f>IF(I91=TRUE,I89/100*'Impianti Titolo II'!$L$10,0)</f>
        <v>117.58655768289339</v>
      </c>
      <c r="J92" s="130">
        <f>IF(J91=TRUE,J89/100*'Impianti Titolo II'!$L$10,0)</f>
        <v>83.027764273988524</v>
      </c>
      <c r="K92" s="130">
        <f>IF(K91=TRUE,K89/100*'Impianti Titolo II'!$L$10,0)</f>
        <v>48.458743317968761</v>
      </c>
      <c r="L92" s="130">
        <f>IF(L91=TRUE,L89/100*'Impianti Titolo II'!$L$10,0)</f>
        <v>13.87316172900195</v>
      </c>
      <c r="M92" s="130">
        <f>IF(M91=TRUE,M89/100*'Impianti Titolo II'!$L$10,0)</f>
        <v>0</v>
      </c>
      <c r="N92" s="130">
        <f>IF(N91=TRUE,N89/100*'Impianti Titolo II'!$L$10,0)</f>
        <v>0</v>
      </c>
      <c r="O92" s="130">
        <f>IF(O91=TRUE,O89/100*'Impianti Titolo II'!$L$10,0)</f>
        <v>663.43263813944282</v>
      </c>
      <c r="P92" s="130">
        <f>IF(P91=TRUE,P89/100*'Impianti Titolo II'!$L$10,0)</f>
        <v>1812.7560239595803</v>
      </c>
      <c r="Q92" s="130">
        <f>IF(Q91=TRUE,Q89/100*'Impianti Titolo II'!$L$10,0)</f>
        <v>1777.9900720986038</v>
      </c>
      <c r="R92" s="130">
        <f>IF(R91=TRUE,R89/100*'Impianti Titolo II'!$L$10,0)</f>
        <v>1743.16799085147</v>
      </c>
      <c r="S92" s="130">
        <f>IF(S91=TRUE,S89/100*'Impianti Titolo II'!$L$10,0)</f>
        <v>1708.2829049235947</v>
      </c>
      <c r="T92" s="130">
        <f>IF(T91=TRUE,T89/100*'Impianti Titolo II'!$L$10,0)</f>
        <v>1673.3278532888667</v>
      </c>
      <c r="U92" s="130">
        <f>IF(U91=TRUE,U89/100*'Impianti Titolo II'!$L$10,0)</f>
        <v>1638.2957870090427</v>
      </c>
      <c r="V92" s="130">
        <f>IF(V91=TRUE,V89/100*'Impianti Titolo II'!$L$10,0)</f>
        <v>1603.1795670137328</v>
      </c>
      <c r="W92" s="130">
        <f>IF(W91=TRUE,W89/100*'Impianti Titolo II'!$L$10,0)</f>
        <v>1567.9719618401359</v>
      </c>
    </row>
    <row r="93" spans="3:23"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</row>
    <row r="94" spans="3:23">
      <c r="C94" s="129" t="s">
        <v>124</v>
      </c>
      <c r="D94" s="130" t="b">
        <f>AND(D89&lt;28001,D89&gt;15000)</f>
        <v>0</v>
      </c>
      <c r="E94" s="130" t="b">
        <f t="shared" ref="E94:W94" si="39">AND(E89&lt;28001,E89&gt;15000)</f>
        <v>0</v>
      </c>
      <c r="F94" s="130" t="b">
        <f t="shared" si="39"/>
        <v>0</v>
      </c>
      <c r="G94" s="130" t="b">
        <f t="shared" si="39"/>
        <v>0</v>
      </c>
      <c r="H94" s="130" t="b">
        <f t="shared" si="39"/>
        <v>0</v>
      </c>
      <c r="I94" s="130" t="b">
        <f t="shared" si="39"/>
        <v>0</v>
      </c>
      <c r="J94" s="130" t="b">
        <f t="shared" si="39"/>
        <v>0</v>
      </c>
      <c r="K94" s="130" t="b">
        <f t="shared" si="39"/>
        <v>0</v>
      </c>
      <c r="L94" s="130" t="b">
        <f t="shared" si="39"/>
        <v>0</v>
      </c>
      <c r="M94" s="130" t="b">
        <f t="shared" si="39"/>
        <v>0</v>
      </c>
      <c r="N94" s="130" t="b">
        <f t="shared" si="39"/>
        <v>0</v>
      </c>
      <c r="O94" s="130" t="b">
        <f t="shared" si="39"/>
        <v>0</v>
      </c>
      <c r="P94" s="130" t="b">
        <f t="shared" si="39"/>
        <v>0</v>
      </c>
      <c r="Q94" s="130" t="b">
        <f t="shared" si="39"/>
        <v>0</v>
      </c>
      <c r="R94" s="130" t="b">
        <f t="shared" si="39"/>
        <v>0</v>
      </c>
      <c r="S94" s="130" t="b">
        <f t="shared" si="39"/>
        <v>0</v>
      </c>
      <c r="T94" s="130" t="b">
        <f t="shared" si="39"/>
        <v>0</v>
      </c>
      <c r="U94" s="130" t="b">
        <f t="shared" si="39"/>
        <v>0</v>
      </c>
      <c r="V94" s="130" t="b">
        <f t="shared" si="39"/>
        <v>0</v>
      </c>
      <c r="W94" s="130" t="b">
        <f t="shared" si="39"/>
        <v>0</v>
      </c>
    </row>
    <row r="95" spans="3:23">
      <c r="C95" s="129"/>
      <c r="D95" s="130">
        <f>IF(D94=TRUE,3450+((D89-15000)/100*'Impianti Titolo II'!$L$11),0)</f>
        <v>0</v>
      </c>
      <c r="E95" s="130">
        <f>IF(E94=TRUE,3450+((E89-15000)/100*'Impianti Titolo II'!$L$11),0)</f>
        <v>0</v>
      </c>
      <c r="F95" s="130">
        <f>IF(F94=TRUE,3450+((F89-15000)/100*'Impianti Titolo II'!$L$11),0)</f>
        <v>0</v>
      </c>
      <c r="G95" s="130">
        <f>IF(G94=TRUE,3450+((G89-15000)/100*'Impianti Titolo II'!$L$11),0)</f>
        <v>0</v>
      </c>
      <c r="H95" s="130">
        <f>IF(H94=TRUE,3450+((H89-15000)/100*'Impianti Titolo II'!$L$11),0)</f>
        <v>0</v>
      </c>
      <c r="I95" s="130">
        <f>IF(I94=TRUE,3450+((I89-15000)/100*'Impianti Titolo II'!$L$11),0)</f>
        <v>0</v>
      </c>
      <c r="J95" s="130">
        <f>IF(J94=TRUE,3450+((J89-15000)/100*'Impianti Titolo II'!$L$11),0)</f>
        <v>0</v>
      </c>
      <c r="K95" s="130">
        <f>IF(K94=TRUE,3450+((K89-15000)/100*'Impianti Titolo II'!$L$11),0)</f>
        <v>0</v>
      </c>
      <c r="L95" s="130">
        <f>IF(L94=TRUE,3450+((L89-15000)/100*'Impianti Titolo II'!$L$11),0)</f>
        <v>0</v>
      </c>
      <c r="M95" s="130">
        <f>IF(M94=TRUE,3450+((M89-15000)/100*'Impianti Titolo II'!$L$11),0)</f>
        <v>0</v>
      </c>
      <c r="N95" s="130">
        <f>IF(N94=TRUE,3450+((N89-15000)/100*'Impianti Titolo II'!$L$11),0)</f>
        <v>0</v>
      </c>
      <c r="O95" s="130">
        <f>IF(O94=TRUE,3450+((O89-15000)/100*'Impianti Titolo II'!$L$11),0)</f>
        <v>0</v>
      </c>
      <c r="P95" s="130">
        <f>IF(P94=TRUE,3450+((P89-15000)/100*'Impianti Titolo II'!$L$11),0)</f>
        <v>0</v>
      </c>
      <c r="Q95" s="130">
        <f>IF(Q94=TRUE,3450+((Q89-15000)/100*'Impianti Titolo II'!$L$11),0)</f>
        <v>0</v>
      </c>
      <c r="R95" s="130">
        <f>IF(R94=TRUE,3450+((R89-15000)/100*'Impianti Titolo II'!$L$11),0)</f>
        <v>0</v>
      </c>
      <c r="S95" s="130">
        <f>IF(S94=TRUE,3450+((S89-15000)/100*'Impianti Titolo II'!$L$11),0)</f>
        <v>0</v>
      </c>
      <c r="T95" s="130">
        <f>IF(T94=TRUE,3450+((T89-15000)/100*'Impianti Titolo II'!$L$11),0)</f>
        <v>0</v>
      </c>
      <c r="U95" s="130">
        <f>IF(U94=TRUE,3450+((U89-15000)/100*'Impianti Titolo II'!$L$11),0)</f>
        <v>0</v>
      </c>
      <c r="V95" s="130">
        <f>IF(V94=TRUE,3450+((V89-15000)/100*'Impianti Titolo II'!$L$11),0)</f>
        <v>0</v>
      </c>
      <c r="W95" s="130">
        <f>IF(W94=TRUE,3450+((W89-15000)/100*'Impianti Titolo II'!$L$11),0)</f>
        <v>0</v>
      </c>
    </row>
    <row r="96" spans="3:23">
      <c r="C96" s="129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</row>
    <row r="97" spans="3:23">
      <c r="C97" s="129" t="s">
        <v>126</v>
      </c>
      <c r="D97" s="130" t="b">
        <f>AND(D89&lt;55001,D89&gt;28000)</f>
        <v>0</v>
      </c>
      <c r="E97" s="130" t="b">
        <f t="shared" ref="E97:W97" si="40">AND(E89&lt;55001,E89&gt;28000)</f>
        <v>0</v>
      </c>
      <c r="F97" s="130" t="b">
        <f t="shared" si="40"/>
        <v>0</v>
      </c>
      <c r="G97" s="130" t="b">
        <f t="shared" si="40"/>
        <v>0</v>
      </c>
      <c r="H97" s="130" t="b">
        <f t="shared" si="40"/>
        <v>0</v>
      </c>
      <c r="I97" s="130" t="b">
        <f t="shared" si="40"/>
        <v>0</v>
      </c>
      <c r="J97" s="130" t="b">
        <f t="shared" si="40"/>
        <v>0</v>
      </c>
      <c r="K97" s="130" t="b">
        <f t="shared" si="40"/>
        <v>0</v>
      </c>
      <c r="L97" s="130" t="b">
        <f t="shared" si="40"/>
        <v>0</v>
      </c>
      <c r="M97" s="130" t="b">
        <f t="shared" si="40"/>
        <v>0</v>
      </c>
      <c r="N97" s="130" t="b">
        <f t="shared" si="40"/>
        <v>0</v>
      </c>
      <c r="O97" s="130" t="b">
        <f t="shared" si="40"/>
        <v>0</v>
      </c>
      <c r="P97" s="130" t="b">
        <f t="shared" si="40"/>
        <v>0</v>
      </c>
      <c r="Q97" s="130" t="b">
        <f t="shared" si="40"/>
        <v>0</v>
      </c>
      <c r="R97" s="130" t="b">
        <f t="shared" si="40"/>
        <v>0</v>
      </c>
      <c r="S97" s="130" t="b">
        <f t="shared" si="40"/>
        <v>0</v>
      </c>
      <c r="T97" s="130" t="b">
        <f t="shared" si="40"/>
        <v>0</v>
      </c>
      <c r="U97" s="130" t="b">
        <f t="shared" si="40"/>
        <v>0</v>
      </c>
      <c r="V97" s="130" t="b">
        <f t="shared" si="40"/>
        <v>0</v>
      </c>
      <c r="W97" s="130" t="b">
        <f t="shared" si="40"/>
        <v>0</v>
      </c>
    </row>
    <row r="98" spans="3:23">
      <c r="C98" s="129"/>
      <c r="D98" s="130">
        <f>IF(D97=TRUE,6960+((D89-28000)/100*'Impianti Titolo II'!$L$12),0)</f>
        <v>0</v>
      </c>
      <c r="E98" s="130">
        <f>IF(E97=TRUE,6960+((E89-28000)/100*'Impianti Titolo II'!$L$12),0)</f>
        <v>0</v>
      </c>
      <c r="F98" s="130">
        <f>IF(F97=TRUE,6960+((F89-28000)/100*'Impianti Titolo II'!$L$12),0)</f>
        <v>0</v>
      </c>
      <c r="G98" s="130">
        <f>IF(G97=TRUE,6960+((G89-28000)/100*'Impianti Titolo II'!$L$12),0)</f>
        <v>0</v>
      </c>
      <c r="H98" s="130">
        <f>IF(H97=TRUE,6960+((H89-28000)/100*'Impianti Titolo II'!$L$12),0)</f>
        <v>0</v>
      </c>
      <c r="I98" s="130">
        <f>IF(I97=TRUE,6960+((I89-28000)/100*'Impianti Titolo II'!$L$12),0)</f>
        <v>0</v>
      </c>
      <c r="J98" s="130">
        <f>IF(J97=TRUE,6960+((J89-28000)/100*'Impianti Titolo II'!$L$12),0)</f>
        <v>0</v>
      </c>
      <c r="K98" s="130">
        <f>IF(K97=TRUE,6960+((K89-28000)/100*'Impianti Titolo II'!$L$12),0)</f>
        <v>0</v>
      </c>
      <c r="L98" s="130">
        <f>IF(L97=TRUE,6960+((L89-28000)/100*'Impianti Titolo II'!$L$12),0)</f>
        <v>0</v>
      </c>
      <c r="M98" s="130">
        <f>IF(M97=TRUE,6960+((M89-28000)/100*'Impianti Titolo II'!$L$12),0)</f>
        <v>0</v>
      </c>
      <c r="N98" s="130">
        <f>IF(N97=TRUE,6960+((N89-28000)/100*'Impianti Titolo II'!$L$12),0)</f>
        <v>0</v>
      </c>
      <c r="O98" s="130">
        <f>IF(O97=TRUE,6960+((O89-28000)/100*'Impianti Titolo II'!$L$12),0)</f>
        <v>0</v>
      </c>
      <c r="P98" s="130">
        <f>IF(P97=TRUE,6960+((P89-28000)/100*'Impianti Titolo II'!$L$12),0)</f>
        <v>0</v>
      </c>
      <c r="Q98" s="130">
        <f>IF(Q97=TRUE,6960+((Q89-28000)/100*'Impianti Titolo II'!$L$12),0)</f>
        <v>0</v>
      </c>
      <c r="R98" s="130">
        <f>IF(R97=TRUE,6960+((R89-28000)/100*'Impianti Titolo II'!$L$12),0)</f>
        <v>0</v>
      </c>
      <c r="S98" s="130">
        <f>IF(S97=TRUE,6960+((S89-28000)/100*'Impianti Titolo II'!$L$12),0)</f>
        <v>0</v>
      </c>
      <c r="T98" s="130">
        <f>IF(T97=TRUE,6960+((T89-28000)/100*'Impianti Titolo II'!$L$12),0)</f>
        <v>0</v>
      </c>
      <c r="U98" s="130">
        <f>IF(U97=TRUE,6960+((U89-28000)/100*'Impianti Titolo II'!$L$12),0)</f>
        <v>0</v>
      </c>
      <c r="V98" s="130">
        <f>IF(V97=TRUE,6960+((V89-28000)/100*'Impianti Titolo II'!$L$12),0)</f>
        <v>0</v>
      </c>
      <c r="W98" s="130">
        <f>IF(W97=TRUE,6960+((W89-28000)/100*'Impianti Titolo II'!$L$12),0)</f>
        <v>0</v>
      </c>
    </row>
    <row r="99" spans="3:23"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</row>
    <row r="100" spans="3:23">
      <c r="C100" s="129" t="s">
        <v>127</v>
      </c>
      <c r="D100" s="130" t="b">
        <f>AND(D89&lt;75001,D89&gt;55000)</f>
        <v>0</v>
      </c>
      <c r="E100" s="130" t="b">
        <f t="shared" ref="E100:W100" si="41">AND(E89&lt;75001,E89&gt;55000)</f>
        <v>0</v>
      </c>
      <c r="F100" s="130" t="b">
        <f t="shared" si="41"/>
        <v>0</v>
      </c>
      <c r="G100" s="130" t="b">
        <f t="shared" si="41"/>
        <v>0</v>
      </c>
      <c r="H100" s="130" t="b">
        <f t="shared" si="41"/>
        <v>0</v>
      </c>
      <c r="I100" s="130" t="b">
        <f t="shared" si="41"/>
        <v>0</v>
      </c>
      <c r="J100" s="130" t="b">
        <f t="shared" si="41"/>
        <v>0</v>
      </c>
      <c r="K100" s="130" t="b">
        <f t="shared" si="41"/>
        <v>0</v>
      </c>
      <c r="L100" s="130" t="b">
        <f t="shared" si="41"/>
        <v>0</v>
      </c>
      <c r="M100" s="130" t="b">
        <f t="shared" si="41"/>
        <v>0</v>
      </c>
      <c r="N100" s="130" t="b">
        <f t="shared" si="41"/>
        <v>0</v>
      </c>
      <c r="O100" s="130" t="b">
        <f t="shared" si="41"/>
        <v>0</v>
      </c>
      <c r="P100" s="130" t="b">
        <f t="shared" si="41"/>
        <v>0</v>
      </c>
      <c r="Q100" s="130" t="b">
        <f t="shared" si="41"/>
        <v>0</v>
      </c>
      <c r="R100" s="130" t="b">
        <f t="shared" si="41"/>
        <v>0</v>
      </c>
      <c r="S100" s="130" t="b">
        <f t="shared" si="41"/>
        <v>0</v>
      </c>
      <c r="T100" s="130" t="b">
        <f t="shared" si="41"/>
        <v>0</v>
      </c>
      <c r="U100" s="130" t="b">
        <f t="shared" si="41"/>
        <v>0</v>
      </c>
      <c r="V100" s="130" t="b">
        <f t="shared" si="41"/>
        <v>0</v>
      </c>
      <c r="W100" s="130" t="b">
        <f t="shared" si="41"/>
        <v>0</v>
      </c>
    </row>
    <row r="101" spans="3:23">
      <c r="D101" s="130">
        <f>IF(D100=TRUE,17220+((D89-55000)/100*'Impianti Titolo II'!$L$13),0)</f>
        <v>0</v>
      </c>
      <c r="E101" s="130">
        <f>IF(E100=TRUE,17220+((E89-55000)/100*'Impianti Titolo II'!$L$13),0)</f>
        <v>0</v>
      </c>
      <c r="F101" s="130">
        <f>IF(F100=TRUE,17220+((F89-55000)/100*'Impianti Titolo II'!$L$13),0)</f>
        <v>0</v>
      </c>
      <c r="G101" s="130">
        <f>IF(G100=TRUE,17220+((G89-55000)/100*'Impianti Titolo II'!$L$13),0)</f>
        <v>0</v>
      </c>
      <c r="H101" s="130">
        <f>IF(H100=TRUE,17220+((H89-55000)/100*'Impianti Titolo II'!$L$13),0)</f>
        <v>0</v>
      </c>
      <c r="I101" s="130">
        <f>IF(I100=TRUE,17220+((I89-55000)/100*'Impianti Titolo II'!$L$13),0)</f>
        <v>0</v>
      </c>
      <c r="J101" s="130">
        <f>IF(J100=TRUE,17220+((J89-55000)/100*'Impianti Titolo II'!$L$13),0)</f>
        <v>0</v>
      </c>
      <c r="K101" s="130">
        <f>IF(K100=TRUE,17220+((K89-55000)/100*'Impianti Titolo II'!$L$13),0)</f>
        <v>0</v>
      </c>
      <c r="L101" s="130">
        <f>IF(L100=TRUE,17220+((L89-55000)/100*'Impianti Titolo II'!$L$13),0)</f>
        <v>0</v>
      </c>
      <c r="M101" s="130">
        <f>IF(M100=TRUE,17220+((M89-55000)/100*'Impianti Titolo II'!$L$13),0)</f>
        <v>0</v>
      </c>
      <c r="N101" s="130">
        <f>IF(N100=TRUE,17220+((N89-55000)/100*'Impianti Titolo II'!$L$13),0)</f>
        <v>0</v>
      </c>
      <c r="O101" s="130">
        <f>IF(O100=TRUE,17220+((O89-55000)/100*'Impianti Titolo II'!$L$13),0)</f>
        <v>0</v>
      </c>
      <c r="P101" s="130">
        <f>IF(P100=TRUE,17220+((P89-55000)/100*'Impianti Titolo II'!$L$13),0)</f>
        <v>0</v>
      </c>
      <c r="Q101" s="130">
        <f>IF(Q100=TRUE,17220+((Q89-55000)/100*'Impianti Titolo II'!$L$13),0)</f>
        <v>0</v>
      </c>
      <c r="R101" s="130">
        <f>IF(R100=TRUE,17220+((R89-55000)/100*'Impianti Titolo II'!$L$13),0)</f>
        <v>0</v>
      </c>
      <c r="S101" s="130">
        <f>IF(S100=TRUE,17220+((S89-55000)/100*'Impianti Titolo II'!$L$13),0)</f>
        <v>0</v>
      </c>
      <c r="T101" s="130">
        <f>IF(T100=TRUE,17220+((T89-55000)/100*'Impianti Titolo II'!$L$13),0)</f>
        <v>0</v>
      </c>
      <c r="U101" s="130">
        <f>IF(U100=TRUE,17220+((U89-55000)/100*'Impianti Titolo II'!$L$13),0)</f>
        <v>0</v>
      </c>
      <c r="V101" s="130">
        <f>IF(V100=TRUE,17220+((V89-55000)/100*'Impianti Titolo II'!$L$13),0)</f>
        <v>0</v>
      </c>
      <c r="W101" s="130">
        <f>IF(W100=TRUE,17220+((W89-55000)/100*'Impianti Titolo II'!$L$13),0)</f>
        <v>0</v>
      </c>
    </row>
    <row r="102" spans="3:23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</row>
    <row r="103" spans="3:23">
      <c r="C103" s="129" t="s">
        <v>128</v>
      </c>
      <c r="D103" s="130" t="b">
        <f>AND(D89&gt;75000)</f>
        <v>0</v>
      </c>
      <c r="E103" s="130" t="b">
        <f t="shared" ref="E103:W103" si="42">AND(E89&gt;75000)</f>
        <v>0</v>
      </c>
      <c r="F103" s="130" t="b">
        <f t="shared" si="42"/>
        <v>0</v>
      </c>
      <c r="G103" s="130" t="b">
        <f t="shared" si="42"/>
        <v>0</v>
      </c>
      <c r="H103" s="130" t="b">
        <f t="shared" si="42"/>
        <v>0</v>
      </c>
      <c r="I103" s="130" t="b">
        <f t="shared" si="42"/>
        <v>0</v>
      </c>
      <c r="J103" s="130" t="b">
        <f t="shared" si="42"/>
        <v>0</v>
      </c>
      <c r="K103" s="130" t="b">
        <f t="shared" si="42"/>
        <v>0</v>
      </c>
      <c r="L103" s="130" t="b">
        <f t="shared" si="42"/>
        <v>0</v>
      </c>
      <c r="M103" s="130" t="b">
        <f t="shared" si="42"/>
        <v>0</v>
      </c>
      <c r="N103" s="130" t="b">
        <f t="shared" si="42"/>
        <v>0</v>
      </c>
      <c r="O103" s="130" t="b">
        <f t="shared" si="42"/>
        <v>0</v>
      </c>
      <c r="P103" s="130" t="b">
        <f t="shared" si="42"/>
        <v>0</v>
      </c>
      <c r="Q103" s="130" t="b">
        <f t="shared" si="42"/>
        <v>0</v>
      </c>
      <c r="R103" s="130" t="b">
        <f t="shared" si="42"/>
        <v>0</v>
      </c>
      <c r="S103" s="130" t="b">
        <f t="shared" si="42"/>
        <v>0</v>
      </c>
      <c r="T103" s="130" t="b">
        <f t="shared" si="42"/>
        <v>0</v>
      </c>
      <c r="U103" s="130" t="b">
        <f t="shared" si="42"/>
        <v>0</v>
      </c>
      <c r="V103" s="130" t="b">
        <f t="shared" si="42"/>
        <v>0</v>
      </c>
      <c r="W103" s="130" t="b">
        <f t="shared" si="42"/>
        <v>0</v>
      </c>
    </row>
    <row r="104" spans="3:23">
      <c r="D104" s="130">
        <f>IF(D103=TRUE,25420+((D89-75000)/100*'Impianti Titolo II'!$L$14),0)</f>
        <v>0</v>
      </c>
      <c r="E104" s="130">
        <f>IF(E103=TRUE,25420+((E89-75000)/100*'Impianti Titolo II'!$L$14),0)</f>
        <v>0</v>
      </c>
      <c r="F104" s="130">
        <f>IF(F103=TRUE,25420+((F89-75000)/100*'Impianti Titolo II'!$L$14),0)</f>
        <v>0</v>
      </c>
      <c r="G104" s="130">
        <f>IF(G103=TRUE,25420+((G89-75000)/100*'Impianti Titolo II'!$L$14),0)</f>
        <v>0</v>
      </c>
      <c r="H104" s="130">
        <f>IF(H103=TRUE,25420+((H89-75000)/100*'Impianti Titolo II'!$L$14),0)</f>
        <v>0</v>
      </c>
      <c r="I104" s="130">
        <f>IF(I103=TRUE,25420+((I89-75000)/100*'Impianti Titolo II'!$L$14),0)</f>
        <v>0</v>
      </c>
      <c r="J104" s="130">
        <f>IF(J103=TRUE,25420+((J89-75000)/100*'Impianti Titolo II'!$L$14),0)</f>
        <v>0</v>
      </c>
      <c r="K104" s="130">
        <f>IF(K103=TRUE,25420+((K89-75000)/100*'Impianti Titolo II'!$L$14),0)</f>
        <v>0</v>
      </c>
      <c r="L104" s="130">
        <f>IF(L103=TRUE,25420+((L89-75000)/100*'Impianti Titolo II'!$L$14),0)</f>
        <v>0</v>
      </c>
      <c r="M104" s="130">
        <f>IF(M103=TRUE,25420+((M89-75000)/100*'Impianti Titolo II'!$L$14),0)</f>
        <v>0</v>
      </c>
      <c r="N104" s="130">
        <f>IF(N103=TRUE,25420+((N89-75000)/100*'Impianti Titolo II'!$L$14),0)</f>
        <v>0</v>
      </c>
      <c r="O104" s="130">
        <f>IF(O103=TRUE,25420+((O89-75000)/100*'Impianti Titolo II'!$L$14),0)</f>
        <v>0</v>
      </c>
      <c r="P104" s="130">
        <f>IF(P103=TRUE,25420+((P89-75000)/100*'Impianti Titolo II'!$L$14),0)</f>
        <v>0</v>
      </c>
      <c r="Q104" s="130">
        <f>IF(Q103=TRUE,25420+((Q89-75000)/100*'Impianti Titolo II'!$L$14),0)</f>
        <v>0</v>
      </c>
      <c r="R104" s="130">
        <f>IF(R103=TRUE,25420+((R89-75000)/100*'Impianti Titolo II'!$L$14),0)</f>
        <v>0</v>
      </c>
      <c r="S104" s="130">
        <f>IF(S103=TRUE,25420+((S89-75000)/100*'Impianti Titolo II'!$L$14),0)</f>
        <v>0</v>
      </c>
      <c r="T104" s="130">
        <f>IF(T103=TRUE,25420+((T89-75000)/100*'Impianti Titolo II'!$L$14),0)</f>
        <v>0</v>
      </c>
      <c r="U104" s="130">
        <f>IF(U103=TRUE,25420+((U89-75000)/100*'Impianti Titolo II'!$L$14),0)</f>
        <v>0</v>
      </c>
      <c r="V104" s="130">
        <f>IF(V103=TRUE,25420+((V89-75000)/100*'Impianti Titolo II'!$L$14),0)</f>
        <v>0</v>
      </c>
      <c r="W104" s="130">
        <f>IF(W103=TRUE,25420+((W89-75000)/100*'Impianti Titolo II'!$L$14),0)</f>
        <v>0</v>
      </c>
    </row>
    <row r="105" spans="3:23"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</row>
    <row r="106" spans="3:23"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</row>
    <row r="107" spans="3:23">
      <c r="D107" s="130">
        <f>D92+D95+D98+D101+D104</f>
        <v>1259.2039999999997</v>
      </c>
      <c r="E107" s="130">
        <f t="shared" ref="E107:W107" si="43">E92+E95+E98+E101+E104</f>
        <v>255.84371999999991</v>
      </c>
      <c r="F107" s="130">
        <f t="shared" si="43"/>
        <v>221.26387043999912</v>
      </c>
      <c r="G107" s="130">
        <f t="shared" si="43"/>
        <v>186.69844800443934</v>
      </c>
      <c r="H107" s="130">
        <f t="shared" si="43"/>
        <v>152.14138701876686</v>
      </c>
      <c r="I107" s="130">
        <f t="shared" si="43"/>
        <v>117.58655768289339</v>
      </c>
      <c r="J107" s="130">
        <f t="shared" si="43"/>
        <v>83.027764273988524</v>
      </c>
      <c r="K107" s="130">
        <f t="shared" si="43"/>
        <v>48.458743317968761</v>
      </c>
      <c r="L107" s="130">
        <f t="shared" si="43"/>
        <v>13.87316172900195</v>
      </c>
      <c r="M107" s="130">
        <f t="shared" si="43"/>
        <v>0</v>
      </c>
      <c r="N107" s="130">
        <f t="shared" si="43"/>
        <v>0</v>
      </c>
      <c r="O107" s="130">
        <f t="shared" si="43"/>
        <v>663.43263813944282</v>
      </c>
      <c r="P107" s="130">
        <f t="shared" si="43"/>
        <v>1812.7560239595803</v>
      </c>
      <c r="Q107" s="130">
        <f t="shared" si="43"/>
        <v>1777.9900720986038</v>
      </c>
      <c r="R107" s="130">
        <f t="shared" si="43"/>
        <v>1743.16799085147</v>
      </c>
      <c r="S107" s="130">
        <f t="shared" si="43"/>
        <v>1708.2829049235947</v>
      </c>
      <c r="T107" s="130">
        <f t="shared" si="43"/>
        <v>1673.3278532888667</v>
      </c>
      <c r="U107" s="130">
        <f t="shared" si="43"/>
        <v>1638.2957870090427</v>
      </c>
      <c r="V107" s="130">
        <f t="shared" si="43"/>
        <v>1603.1795670137328</v>
      </c>
      <c r="W107" s="130">
        <f t="shared" si="43"/>
        <v>1567.9719618401359</v>
      </c>
    </row>
    <row r="108" spans="3:23"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</row>
  </sheetData>
  <sheetProtection formatCells="0" formatColumns="0" formatRows="0" insertColumns="0" insertRows="0" insertHyperlinks="0" deleteColumns="0" deleteRows="0" sort="0" autoFilter="0" pivotTables="0"/>
  <mergeCells count="6">
    <mergeCell ref="F11:G11"/>
    <mergeCell ref="L11:M11"/>
    <mergeCell ref="F21:G21"/>
    <mergeCell ref="L21:M21"/>
    <mergeCell ref="D1:D5"/>
    <mergeCell ref="D7:D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Impianti Titolo II</vt:lpstr>
      <vt:lpstr>Calcoli Titolo II</vt:lpstr>
      <vt:lpstr>'Impianti Titolo II'!Area_stampa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2012-07-16T20:07:14Z</cp:lastPrinted>
  <dcterms:created xsi:type="dcterms:W3CDTF">2012-05-08T21:23:52Z</dcterms:created>
  <dcterms:modified xsi:type="dcterms:W3CDTF">2012-07-17T09:34:28Z</dcterms:modified>
</cp:coreProperties>
</file>