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Simulazione 7.2" sheetId="1" r:id="rId1"/>
    <sheet name="Finanziamento" sheetId="7" r:id="rId2"/>
    <sheet name="Calcoli" sheetId="6" r:id="rId3"/>
  </sheets>
  <externalReferences>
    <externalReference r:id="rId4"/>
  </externalReferences>
  <definedNames>
    <definedName name="a">#REF!</definedName>
    <definedName name="_xlnm.Print_Area" localSheetId="0">'Simulazione 7.2'!$A$1:$AC$94</definedName>
    <definedName name="b">IF(Payment_Number&lt;=Number_of_Payments,1,0)</definedName>
    <definedName name="Beginning_Balance">-FV(Interest_Rate/12,Payment_Number-1,-Monthly_Payment,Loan_Amount)</definedName>
    <definedName name="Ending_Balance">-FV(Interest_Rate/12,Payment_Number,-Monthly_Payment,Loan_Amount)</definedName>
    <definedName name="Header_Row">ROW('[1]Importo del prestito'!$15:$15)</definedName>
    <definedName name="Interest">-IPMT(Interest_Rate/12,Payment_Number,Number_of_Payments,Loan_Amount)</definedName>
    <definedName name="Interest_Rate">Finanziamento!$E$5</definedName>
    <definedName name="Last_Row">IF(Values_Entered,Header_Row+Number_of_Payments,Header_Row)</definedName>
    <definedName name="Loan_Amount">Finanziamento!$E$4</definedName>
    <definedName name="Loan_Not_Paid">IF(Payment_Number&lt;=Number_of_Payments,1,0)</definedName>
    <definedName name="Loan_Start">Finanziamento!$E$7</definedName>
    <definedName name="Loan_Years">Finanziamento!$E$6</definedName>
    <definedName name="Monthly_Payment">-PMT(Interest_Rate/12,Number_of_Payments,Loan_Amount)</definedName>
    <definedName name="Number_of_Payments">Finanziamento!$E$10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Total_Cost">Finanziamento!$E$12</definedName>
    <definedName name="Total_Interest">Finanziamento!$E$11</definedName>
    <definedName name="Values_Entered">IF(Loan_Amount*Interest_Rate*Loan_Years*Loan_Start&gt;0,1,0)</definedName>
  </definedNames>
  <calcPr calcId="125725" forceFullCalc="1"/>
</workbook>
</file>

<file path=xl/calcChain.xml><?xml version="1.0" encoding="utf-8"?>
<calcChain xmlns="http://schemas.openxmlformats.org/spreadsheetml/2006/main">
  <c r="E85" i="1"/>
  <c r="AH129" i="6"/>
  <c r="X128"/>
  <c r="AC128"/>
  <c r="AH128"/>
  <c r="AM128"/>
  <c r="AL127"/>
  <c r="AL131" s="1"/>
  <c r="AC85" i="1" s="1"/>
  <c r="AI127" i="6"/>
  <c r="AI131" s="1"/>
  <c r="Z85" i="1" s="1"/>
  <c r="AF127" i="6"/>
  <c r="AF131" s="1"/>
  <c r="W85" i="1" s="1"/>
  <c r="AC127" i="6"/>
  <c r="Z127"/>
  <c r="Z131" s="1"/>
  <c r="Q85" i="1" s="1"/>
  <c r="X127" i="6"/>
  <c r="W127"/>
  <c r="W131" s="1"/>
  <c r="N85" i="1" s="1"/>
  <c r="T127" i="6"/>
  <c r="T131" s="1"/>
  <c r="K85" i="1" s="1"/>
  <c r="S127" i="6"/>
  <c r="S131" s="1"/>
  <c r="J85" i="1" s="1"/>
  <c r="Q127" i="6"/>
  <c r="Q131" s="1"/>
  <c r="H85" i="1" s="1"/>
  <c r="AK131" i="6"/>
  <c r="AB85" i="1" s="1"/>
  <c r="AJ131" i="6"/>
  <c r="AA85" i="1" s="1"/>
  <c r="AG131" i="6"/>
  <c r="X85" i="1" s="1"/>
  <c r="AE131" i="6"/>
  <c r="V85" i="1" s="1"/>
  <c r="AD131" i="6"/>
  <c r="U85" i="1" s="1"/>
  <c r="AB131" i="6"/>
  <c r="S85" i="1" s="1"/>
  <c r="AA131" i="6"/>
  <c r="R85" i="1" s="1"/>
  <c r="Y131" i="6"/>
  <c r="P85" i="1" s="1"/>
  <c r="V131" i="6"/>
  <c r="M85" i="1" s="1"/>
  <c r="U131" i="6"/>
  <c r="L85" i="1" s="1"/>
  <c r="R131" i="6"/>
  <c r="I85" i="1" s="1"/>
  <c r="P131" i="6"/>
  <c r="G85" i="1" s="1"/>
  <c r="O131" i="6"/>
  <c r="F85" i="1" s="1"/>
  <c r="AM131" i="6"/>
  <c r="X131" l="1"/>
  <c r="O85" i="1" s="1"/>
  <c r="AC131" i="6"/>
  <c r="T85" i="1" s="1"/>
  <c r="AH131" i="6"/>
  <c r="Y85" i="1" s="1"/>
  <c r="AC83"/>
  <c r="AB83"/>
  <c r="AA83"/>
  <c r="Z83"/>
  <c r="Y83"/>
  <c r="X83"/>
  <c r="W83"/>
  <c r="V83"/>
  <c r="U83"/>
  <c r="T83"/>
  <c r="E6" i="7" l="1"/>
  <c r="E5"/>
  <c r="E4"/>
  <c r="E10" l="1"/>
  <c r="B300" s="1"/>
  <c r="C202"/>
  <c r="D225"/>
  <c r="G120"/>
  <c r="H53"/>
  <c r="G88"/>
  <c r="G29"/>
  <c r="G41"/>
  <c r="D54"/>
  <c r="D66"/>
  <c r="D78"/>
  <c r="B21"/>
  <c r="B33"/>
  <c r="B45"/>
  <c r="F57"/>
  <c r="F69"/>
  <c r="F81"/>
  <c r="F22"/>
  <c r="F34"/>
  <c r="F46"/>
  <c r="G55"/>
  <c r="B62"/>
  <c r="D68"/>
  <c r="B74"/>
  <c r="D80"/>
  <c r="B88"/>
  <c r="D236" i="6"/>
  <c r="E236" s="1"/>
  <c r="F236" s="1"/>
  <c r="G236" s="1"/>
  <c r="H236" s="1"/>
  <c r="I236" s="1"/>
  <c r="J236" s="1"/>
  <c r="K236" s="1"/>
  <c r="L236" s="1"/>
  <c r="M236" s="1"/>
  <c r="N236" s="1"/>
  <c r="O236" s="1"/>
  <c r="P236" s="1"/>
  <c r="Q236" s="1"/>
  <c r="R236" s="1"/>
  <c r="S236" s="1"/>
  <c r="T236" s="1"/>
  <c r="U236" s="1"/>
  <c r="V236" s="1"/>
  <c r="W236" s="1"/>
  <c r="X236" s="1"/>
  <c r="Y236" s="1"/>
  <c r="Z236" s="1"/>
  <c r="AA236" s="1"/>
  <c r="AB236" s="1"/>
  <c r="D262"/>
  <c r="E262" s="1"/>
  <c r="F262" s="1"/>
  <c r="G262" s="1"/>
  <c r="H262" s="1"/>
  <c r="I262" s="1"/>
  <c r="J262" s="1"/>
  <c r="K262" s="1"/>
  <c r="L262" s="1"/>
  <c r="M262" s="1"/>
  <c r="N262" s="1"/>
  <c r="O262" s="1"/>
  <c r="P262" s="1"/>
  <c r="Q262" s="1"/>
  <c r="R262" s="1"/>
  <c r="S262" s="1"/>
  <c r="T262" s="1"/>
  <c r="U262" s="1"/>
  <c r="V262" s="1"/>
  <c r="W262" s="1"/>
  <c r="X262" s="1"/>
  <c r="Y262" s="1"/>
  <c r="Z262" s="1"/>
  <c r="AA262" s="1"/>
  <c r="AB262" s="1"/>
  <c r="AC64" i="1" s="1"/>
  <c r="F82" i="7" l="1"/>
  <c r="D76"/>
  <c r="F70"/>
  <c r="D64"/>
  <c r="B58"/>
  <c r="B50"/>
  <c r="E37"/>
  <c r="E25"/>
  <c r="C85"/>
  <c r="E72"/>
  <c r="E60"/>
  <c r="E48"/>
  <c r="H35"/>
  <c r="H23"/>
  <c r="G81"/>
  <c r="C69"/>
  <c r="C57"/>
  <c r="C45"/>
  <c r="F32"/>
  <c r="G17"/>
  <c r="H65"/>
  <c r="E102"/>
  <c r="G188"/>
  <c r="B129"/>
  <c r="G330"/>
  <c r="C83"/>
  <c r="E77"/>
  <c r="C71"/>
  <c r="H64"/>
  <c r="C59"/>
  <c r="H52"/>
  <c r="H40"/>
  <c r="D28"/>
  <c r="D16"/>
  <c r="H75"/>
  <c r="D63"/>
  <c r="D51"/>
  <c r="D39"/>
  <c r="G26"/>
  <c r="F84"/>
  <c r="F72"/>
  <c r="B60"/>
  <c r="B48"/>
  <c r="B36"/>
  <c r="F20"/>
  <c r="H77"/>
  <c r="G20"/>
  <c r="D157"/>
  <c r="D202"/>
  <c r="C203"/>
  <c r="G85"/>
  <c r="G79"/>
  <c r="E73"/>
  <c r="C67"/>
  <c r="E61"/>
  <c r="C55"/>
  <c r="G43"/>
  <c r="G31"/>
  <c r="C19"/>
  <c r="G78"/>
  <c r="G66"/>
  <c r="C54"/>
  <c r="C42"/>
  <c r="C30"/>
  <c r="D90"/>
  <c r="E75"/>
  <c r="E63"/>
  <c r="H50"/>
  <c r="H38"/>
  <c r="H26"/>
  <c r="D81"/>
  <c r="B39"/>
  <c r="B139"/>
  <c r="C129"/>
  <c r="B130"/>
  <c r="G68"/>
  <c r="G56"/>
  <c r="F43"/>
  <c r="D25"/>
  <c r="H97"/>
  <c r="C116"/>
  <c r="E134"/>
  <c r="G152"/>
  <c r="F179"/>
  <c r="C216"/>
  <c r="F112"/>
  <c r="B184"/>
  <c r="G110"/>
  <c r="H183"/>
  <c r="G111"/>
  <c r="H184"/>
  <c r="C294"/>
  <c r="H269"/>
  <c r="E23"/>
  <c r="C84"/>
  <c r="C72"/>
  <c r="F59"/>
  <c r="F47"/>
  <c r="H29"/>
  <c r="D93"/>
  <c r="F111"/>
  <c r="H129"/>
  <c r="C148"/>
  <c r="E170"/>
  <c r="B207"/>
  <c r="E103"/>
  <c r="G165"/>
  <c r="E92"/>
  <c r="F165"/>
  <c r="E93"/>
  <c r="F166"/>
  <c r="F257"/>
  <c r="G323"/>
  <c r="B75"/>
  <c r="B63"/>
  <c r="E50"/>
  <c r="E34"/>
  <c r="C16"/>
  <c r="B107"/>
  <c r="D125"/>
  <c r="F143"/>
  <c r="H161"/>
  <c r="H197"/>
  <c r="D94"/>
  <c r="E147"/>
  <c r="F220"/>
  <c r="D147"/>
  <c r="E220"/>
  <c r="D148"/>
  <c r="E221"/>
  <c r="H371"/>
  <c r="C89"/>
  <c r="D84"/>
  <c r="H80"/>
  <c r="B78"/>
  <c r="C75"/>
  <c r="G71"/>
  <c r="H68"/>
  <c r="B66"/>
  <c r="F62"/>
  <c r="G59"/>
  <c r="H56"/>
  <c r="E53"/>
  <c r="F50"/>
  <c r="G47"/>
  <c r="D44"/>
  <c r="E41"/>
  <c r="F38"/>
  <c r="C35"/>
  <c r="D32"/>
  <c r="E29"/>
  <c r="B26"/>
  <c r="C23"/>
  <c r="D20"/>
  <c r="H16"/>
  <c r="H85"/>
  <c r="G82"/>
  <c r="D79"/>
  <c r="E76"/>
  <c r="F73"/>
  <c r="C70"/>
  <c r="D67"/>
  <c r="E64"/>
  <c r="B61"/>
  <c r="C58"/>
  <c r="D55"/>
  <c r="H51"/>
  <c r="B49"/>
  <c r="C46"/>
  <c r="G42"/>
  <c r="H39"/>
  <c r="B37"/>
  <c r="F33"/>
  <c r="G30"/>
  <c r="H27"/>
  <c r="E24"/>
  <c r="F21"/>
  <c r="G18"/>
  <c r="D85"/>
  <c r="D82"/>
  <c r="E79"/>
  <c r="B76"/>
  <c r="C73"/>
  <c r="D70"/>
  <c r="H66"/>
  <c r="B64"/>
  <c r="C61"/>
  <c r="G57"/>
  <c r="H54"/>
  <c r="B52"/>
  <c r="F48"/>
  <c r="G45"/>
  <c r="H42"/>
  <c r="E39"/>
  <c r="F36"/>
  <c r="G33"/>
  <c r="D30"/>
  <c r="E27"/>
  <c r="F24"/>
  <c r="C21"/>
  <c r="D18"/>
  <c r="E9"/>
  <c r="G84"/>
  <c r="H81"/>
  <c r="B79"/>
  <c r="F75"/>
  <c r="G72"/>
  <c r="H69"/>
  <c r="E66"/>
  <c r="F63"/>
  <c r="G60"/>
  <c r="D57"/>
  <c r="E54"/>
  <c r="F51"/>
  <c r="C48"/>
  <c r="G44"/>
  <c r="C40"/>
  <c r="F35"/>
  <c r="B31"/>
  <c r="E26"/>
  <c r="H21"/>
  <c r="D17"/>
  <c r="C92"/>
  <c r="G96"/>
  <c r="D101"/>
  <c r="H105"/>
  <c r="E110"/>
  <c r="B115"/>
  <c r="F119"/>
  <c r="C124"/>
  <c r="G128"/>
  <c r="D133"/>
  <c r="H137"/>
  <c r="E142"/>
  <c r="B147"/>
  <c r="F151"/>
  <c r="C156"/>
  <c r="G160"/>
  <c r="C168"/>
  <c r="D177"/>
  <c r="E186"/>
  <c r="F195"/>
  <c r="G204"/>
  <c r="H213"/>
  <c r="B223"/>
  <c r="B92"/>
  <c r="C101"/>
  <c r="D110"/>
  <c r="F124"/>
  <c r="H142"/>
  <c r="C161"/>
  <c r="E179"/>
  <c r="G197"/>
  <c r="B216"/>
  <c r="H87"/>
  <c r="C106"/>
  <c r="E124"/>
  <c r="G142"/>
  <c r="B161"/>
  <c r="D179"/>
  <c r="F197"/>
  <c r="H215"/>
  <c r="H88"/>
  <c r="C107"/>
  <c r="E125"/>
  <c r="G143"/>
  <c r="B162"/>
  <c r="D180"/>
  <c r="F198"/>
  <c r="H216"/>
  <c r="E248"/>
  <c r="B285"/>
  <c r="F321"/>
  <c r="C358"/>
  <c r="D296"/>
  <c r="F251"/>
  <c r="E370"/>
  <c r="H84"/>
  <c r="B82"/>
  <c r="F78"/>
  <c r="G75"/>
  <c r="H72"/>
  <c r="E69"/>
  <c r="F66"/>
  <c r="G63"/>
  <c r="D60"/>
  <c r="E57"/>
  <c r="F54"/>
  <c r="C51"/>
  <c r="D48"/>
  <c r="E45"/>
  <c r="B42"/>
  <c r="C39"/>
  <c r="D36"/>
  <c r="H32"/>
  <c r="B30"/>
  <c r="C27"/>
  <c r="G23"/>
  <c r="H20"/>
  <c r="B18"/>
  <c r="B87"/>
  <c r="D83"/>
  <c r="E80"/>
  <c r="B77"/>
  <c r="C74"/>
  <c r="D71"/>
  <c r="H67"/>
  <c r="B65"/>
  <c r="C62"/>
  <c r="G58"/>
  <c r="H55"/>
  <c r="B53"/>
  <c r="F49"/>
  <c r="G46"/>
  <c r="H43"/>
  <c r="E40"/>
  <c r="F37"/>
  <c r="G34"/>
  <c r="D31"/>
  <c r="E28"/>
  <c r="F25"/>
  <c r="C22"/>
  <c r="D19"/>
  <c r="E87"/>
  <c r="H82"/>
  <c r="B80"/>
  <c r="C77"/>
  <c r="G73"/>
  <c r="H70"/>
  <c r="B68"/>
  <c r="F64"/>
  <c r="G61"/>
  <c r="H58"/>
  <c r="E55"/>
  <c r="F52"/>
  <c r="G49"/>
  <c r="D46"/>
  <c r="E43"/>
  <c r="F40"/>
  <c r="C37"/>
  <c r="D34"/>
  <c r="E31"/>
  <c r="B28"/>
  <c r="C25"/>
  <c r="D22"/>
  <c r="H18"/>
  <c r="B16"/>
  <c r="E86"/>
  <c r="E82"/>
  <c r="F79"/>
  <c r="G76"/>
  <c r="D73"/>
  <c r="E70"/>
  <c r="F67"/>
  <c r="C64"/>
  <c r="D61"/>
  <c r="E58"/>
  <c r="B55"/>
  <c r="C52"/>
  <c r="D49"/>
  <c r="H45"/>
  <c r="D41"/>
  <c r="G36"/>
  <c r="C32"/>
  <c r="F27"/>
  <c r="B23"/>
  <c r="E18"/>
  <c r="B91"/>
  <c r="F95"/>
  <c r="C100"/>
  <c r="G104"/>
  <c r="D109"/>
  <c r="H113"/>
  <c r="E118"/>
  <c r="B123"/>
  <c r="F127"/>
  <c r="C132"/>
  <c r="G136"/>
  <c r="D141"/>
  <c r="H145"/>
  <c r="E150"/>
  <c r="B155"/>
  <c r="F159"/>
  <c r="H165"/>
  <c r="B175"/>
  <c r="C184"/>
  <c r="D193"/>
  <c r="E202"/>
  <c r="F211"/>
  <c r="G220"/>
  <c r="H229"/>
  <c r="H98"/>
  <c r="B108"/>
  <c r="B120"/>
  <c r="D138"/>
  <c r="F156"/>
  <c r="H174"/>
  <c r="C193"/>
  <c r="E211"/>
  <c r="G229"/>
  <c r="F101"/>
  <c r="H119"/>
  <c r="C138"/>
  <c r="E156"/>
  <c r="G174"/>
  <c r="B193"/>
  <c r="D211"/>
  <c r="F229"/>
  <c r="F102"/>
  <c r="H120"/>
  <c r="C139"/>
  <c r="E157"/>
  <c r="G175"/>
  <c r="B194"/>
  <c r="D212"/>
  <c r="D239"/>
  <c r="H275"/>
  <c r="E312"/>
  <c r="B349"/>
  <c r="H268"/>
  <c r="E369"/>
  <c r="B343"/>
  <c r="D52"/>
  <c r="H48"/>
  <c r="B46"/>
  <c r="C43"/>
  <c r="G39"/>
  <c r="H36"/>
  <c r="B34"/>
  <c r="F30"/>
  <c r="G27"/>
  <c r="H24"/>
  <c r="E21"/>
  <c r="F18"/>
  <c r="G89"/>
  <c r="H83"/>
  <c r="B81"/>
  <c r="C78"/>
  <c r="G74"/>
  <c r="H71"/>
  <c r="B69"/>
  <c r="F65"/>
  <c r="G62"/>
  <c r="H59"/>
  <c r="E56"/>
  <c r="F53"/>
  <c r="G50"/>
  <c r="D47"/>
  <c r="E44"/>
  <c r="F41"/>
  <c r="C38"/>
  <c r="D35"/>
  <c r="E32"/>
  <c r="B29"/>
  <c r="C26"/>
  <c r="D23"/>
  <c r="H19"/>
  <c r="F88"/>
  <c r="B84"/>
  <c r="F80"/>
  <c r="G77"/>
  <c r="H74"/>
  <c r="E71"/>
  <c r="F68"/>
  <c r="G65"/>
  <c r="D62"/>
  <c r="E59"/>
  <c r="F56"/>
  <c r="C53"/>
  <c r="D50"/>
  <c r="E47"/>
  <c r="B44"/>
  <c r="C41"/>
  <c r="D38"/>
  <c r="H34"/>
  <c r="B32"/>
  <c r="C29"/>
  <c r="G25"/>
  <c r="H22"/>
  <c r="B20"/>
  <c r="F16"/>
  <c r="F87"/>
  <c r="F83"/>
  <c r="C80"/>
  <c r="D77"/>
  <c r="E74"/>
  <c r="B71"/>
  <c r="C68"/>
  <c r="D65"/>
  <c r="H61"/>
  <c r="B59"/>
  <c r="C56"/>
  <c r="G52"/>
  <c r="H49"/>
  <c r="B47"/>
  <c r="E42"/>
  <c r="H37"/>
  <c r="D33"/>
  <c r="G28"/>
  <c r="C24"/>
  <c r="F19"/>
  <c r="H89"/>
  <c r="E94"/>
  <c r="B99"/>
  <c r="F103"/>
  <c r="C108"/>
  <c r="G112"/>
  <c r="D117"/>
  <c r="H121"/>
  <c r="E126"/>
  <c r="B131"/>
  <c r="F135"/>
  <c r="C140"/>
  <c r="G144"/>
  <c r="D149"/>
  <c r="H153"/>
  <c r="E158"/>
  <c r="F163"/>
  <c r="G172"/>
  <c r="H181"/>
  <c r="B191"/>
  <c r="C200"/>
  <c r="D209"/>
  <c r="E218"/>
  <c r="F227"/>
  <c r="F96"/>
  <c r="G105"/>
  <c r="E115"/>
  <c r="G133"/>
  <c r="B152"/>
  <c r="D170"/>
  <c r="F188"/>
  <c r="H206"/>
  <c r="C225"/>
  <c r="B97"/>
  <c r="D115"/>
  <c r="F133"/>
  <c r="H151"/>
  <c r="C170"/>
  <c r="E188"/>
  <c r="G206"/>
  <c r="B225"/>
  <c r="B98"/>
  <c r="D116"/>
  <c r="F134"/>
  <c r="H152"/>
  <c r="C171"/>
  <c r="E189"/>
  <c r="G207"/>
  <c r="E229"/>
  <c r="G266"/>
  <c r="D303"/>
  <c r="H339"/>
  <c r="F250"/>
  <c r="B342"/>
  <c r="D297"/>
  <c r="G324"/>
  <c r="G345"/>
  <c r="F272"/>
  <c r="D254"/>
  <c r="E327"/>
  <c r="F336"/>
  <c r="H86"/>
  <c r="G83"/>
  <c r="E81"/>
  <c r="C79"/>
  <c r="H76"/>
  <c r="F74"/>
  <c r="D72"/>
  <c r="B70"/>
  <c r="G67"/>
  <c r="E65"/>
  <c r="C63"/>
  <c r="H60"/>
  <c r="F58"/>
  <c r="D56"/>
  <c r="B54"/>
  <c r="G51"/>
  <c r="E49"/>
  <c r="C47"/>
  <c r="H44"/>
  <c r="F42"/>
  <c r="D40"/>
  <c r="B38"/>
  <c r="G35"/>
  <c r="E33"/>
  <c r="C31"/>
  <c r="H28"/>
  <c r="F26"/>
  <c r="D24"/>
  <c r="B22"/>
  <c r="G19"/>
  <c r="E17"/>
  <c r="C88"/>
  <c r="E84"/>
  <c r="C82"/>
  <c r="H79"/>
  <c r="F77"/>
  <c r="D75"/>
  <c r="B73"/>
  <c r="G70"/>
  <c r="E68"/>
  <c r="C66"/>
  <c r="H63"/>
  <c r="F61"/>
  <c r="D59"/>
  <c r="B57"/>
  <c r="G54"/>
  <c r="E52"/>
  <c r="C50"/>
  <c r="H47"/>
  <c r="F45"/>
  <c r="D43"/>
  <c r="B41"/>
  <c r="G38"/>
  <c r="E36"/>
  <c r="C34"/>
  <c r="H31"/>
  <c r="F29"/>
  <c r="D27"/>
  <c r="B25"/>
  <c r="G22"/>
  <c r="E20"/>
  <c r="C18"/>
  <c r="D86"/>
  <c r="E83"/>
  <c r="C81"/>
  <c r="H78"/>
  <c r="F76"/>
  <c r="D74"/>
  <c r="B72"/>
  <c r="G69"/>
  <c r="E67"/>
  <c r="C65"/>
  <c r="H62"/>
  <c r="F60"/>
  <c r="D58"/>
  <c r="B56"/>
  <c r="G53"/>
  <c r="E51"/>
  <c r="C49"/>
  <c r="H46"/>
  <c r="F44"/>
  <c r="D42"/>
  <c r="B40"/>
  <c r="G37"/>
  <c r="E35"/>
  <c r="C33"/>
  <c r="H30"/>
  <c r="F28"/>
  <c r="D26"/>
  <c r="B24"/>
  <c r="G21"/>
  <c r="E19"/>
  <c r="C17"/>
  <c r="H90"/>
  <c r="E85"/>
  <c r="B83"/>
  <c r="G80"/>
  <c r="E78"/>
  <c r="C76"/>
  <c r="H73"/>
  <c r="F71"/>
  <c r="D69"/>
  <c r="B67"/>
  <c r="G64"/>
  <c r="E62"/>
  <c r="C60"/>
  <c r="H57"/>
  <c r="F55"/>
  <c r="D53"/>
  <c r="B51"/>
  <c r="G48"/>
  <c r="E46"/>
  <c r="C44"/>
  <c r="H41"/>
  <c r="F39"/>
  <c r="D37"/>
  <c r="B35"/>
  <c r="G32"/>
  <c r="E30"/>
  <c r="C28"/>
  <c r="H25"/>
  <c r="F23"/>
  <c r="D21"/>
  <c r="B19"/>
  <c r="G16"/>
  <c r="E90"/>
  <c r="G92"/>
  <c r="B95"/>
  <c r="D97"/>
  <c r="F99"/>
  <c r="H101"/>
  <c r="C104"/>
  <c r="E106"/>
  <c r="G108"/>
  <c r="B111"/>
  <c r="D113"/>
  <c r="F115"/>
  <c r="H117"/>
  <c r="C120"/>
  <c r="E122"/>
  <c r="G124"/>
  <c r="B127"/>
  <c r="D129"/>
  <c r="F131"/>
  <c r="H133"/>
  <c r="C136"/>
  <c r="E138"/>
  <c r="G140"/>
  <c r="B143"/>
  <c r="D145"/>
  <c r="F147"/>
  <c r="H149"/>
  <c r="C152"/>
  <c r="E154"/>
  <c r="G156"/>
  <c r="B159"/>
  <c r="D161"/>
  <c r="C164"/>
  <c r="G168"/>
  <c r="D173"/>
  <c r="H177"/>
  <c r="E182"/>
  <c r="B187"/>
  <c r="F191"/>
  <c r="C196"/>
  <c r="G200"/>
  <c r="D205"/>
  <c r="H209"/>
  <c r="E214"/>
  <c r="B219"/>
  <c r="F223"/>
  <c r="C228"/>
  <c r="F92"/>
  <c r="C97"/>
  <c r="G101"/>
  <c r="D106"/>
  <c r="H110"/>
  <c r="G117"/>
  <c r="H126"/>
  <c r="B136"/>
  <c r="C145"/>
  <c r="D154"/>
  <c r="E163"/>
  <c r="F172"/>
  <c r="G181"/>
  <c r="H190"/>
  <c r="B200"/>
  <c r="C209"/>
  <c r="D218"/>
  <c r="E227"/>
  <c r="C90"/>
  <c r="D99"/>
  <c r="E108"/>
  <c r="F117"/>
  <c r="G126"/>
  <c r="H135"/>
  <c r="B145"/>
  <c r="C154"/>
  <c r="D163"/>
  <c r="E172"/>
  <c r="F181"/>
  <c r="G190"/>
  <c r="H199"/>
  <c r="B209"/>
  <c r="C218"/>
  <c r="D227"/>
  <c r="C91"/>
  <c r="D100"/>
  <c r="E109"/>
  <c r="F118"/>
  <c r="G127"/>
  <c r="H136"/>
  <c r="B146"/>
  <c r="C155"/>
  <c r="D164"/>
  <c r="E173"/>
  <c r="F182"/>
  <c r="G191"/>
  <c r="H200"/>
  <c r="B210"/>
  <c r="C219"/>
  <c r="G234"/>
  <c r="B253"/>
  <c r="D271"/>
  <c r="F289"/>
  <c r="H307"/>
  <c r="C326"/>
  <c r="E344"/>
  <c r="D367"/>
  <c r="G259"/>
  <c r="E305"/>
  <c r="D360"/>
  <c r="G260"/>
  <c r="E306"/>
  <c r="D361"/>
  <c r="E263"/>
  <c r="C309"/>
  <c r="B364"/>
  <c r="D45"/>
  <c r="B43"/>
  <c r="G40"/>
  <c r="E38"/>
  <c r="C36"/>
  <c r="H33"/>
  <c r="F31"/>
  <c r="D29"/>
  <c r="B27"/>
  <c r="G24"/>
  <c r="E22"/>
  <c r="C20"/>
  <c r="H17"/>
  <c r="D89"/>
  <c r="F91"/>
  <c r="H93"/>
  <c r="C96"/>
  <c r="E98"/>
  <c r="G100"/>
  <c r="B103"/>
  <c r="D105"/>
  <c r="F107"/>
  <c r="H109"/>
  <c r="C112"/>
  <c r="E114"/>
  <c r="G116"/>
  <c r="B119"/>
  <c r="D121"/>
  <c r="F123"/>
  <c r="H125"/>
  <c r="C128"/>
  <c r="E130"/>
  <c r="G132"/>
  <c r="B135"/>
  <c r="D137"/>
  <c r="F139"/>
  <c r="H141"/>
  <c r="C144"/>
  <c r="E146"/>
  <c r="G148"/>
  <c r="B151"/>
  <c r="D153"/>
  <c r="F155"/>
  <c r="H157"/>
  <c r="C160"/>
  <c r="B163"/>
  <c r="E166"/>
  <c r="B171"/>
  <c r="F175"/>
  <c r="C180"/>
  <c r="G184"/>
  <c r="D189"/>
  <c r="H193"/>
  <c r="E198"/>
  <c r="B203"/>
  <c r="F207"/>
  <c r="C212"/>
  <c r="G216"/>
  <c r="D221"/>
  <c r="H225"/>
  <c r="G230"/>
  <c r="H94"/>
  <c r="E99"/>
  <c r="B104"/>
  <c r="F108"/>
  <c r="C113"/>
  <c r="D122"/>
  <c r="E131"/>
  <c r="F140"/>
  <c r="G149"/>
  <c r="H158"/>
  <c r="B168"/>
  <c r="C177"/>
  <c r="D186"/>
  <c r="E195"/>
  <c r="F204"/>
  <c r="G213"/>
  <c r="H222"/>
  <c r="F85"/>
  <c r="G94"/>
  <c r="H103"/>
  <c r="B113"/>
  <c r="C122"/>
  <c r="D131"/>
  <c r="E140"/>
  <c r="F149"/>
  <c r="G158"/>
  <c r="H167"/>
  <c r="B177"/>
  <c r="C186"/>
  <c r="D195"/>
  <c r="E204"/>
  <c r="F213"/>
  <c r="G222"/>
  <c r="F86"/>
  <c r="G95"/>
  <c r="H104"/>
  <c r="B114"/>
  <c r="C123"/>
  <c r="D132"/>
  <c r="E141"/>
  <c r="F150"/>
  <c r="G159"/>
  <c r="H168"/>
  <c r="B178"/>
  <c r="C187"/>
  <c r="D196"/>
  <c r="E205"/>
  <c r="F214"/>
  <c r="H224"/>
  <c r="H243"/>
  <c r="C262"/>
  <c r="E280"/>
  <c r="G298"/>
  <c r="B317"/>
  <c r="D335"/>
  <c r="F353"/>
  <c r="D232"/>
  <c r="C287"/>
  <c r="H332"/>
  <c r="D233"/>
  <c r="C288"/>
  <c r="H333"/>
  <c r="B236"/>
  <c r="H290"/>
  <c r="E12"/>
  <c r="F372"/>
  <c r="C369"/>
  <c r="H366"/>
  <c r="F364"/>
  <c r="D362"/>
  <c r="B360"/>
  <c r="G357"/>
  <c r="E355"/>
  <c r="C353"/>
  <c r="H350"/>
  <c r="F348"/>
  <c r="D346"/>
  <c r="B344"/>
  <c r="G341"/>
  <c r="E339"/>
  <c r="C337"/>
  <c r="H334"/>
  <c r="F332"/>
  <c r="D330"/>
  <c r="B328"/>
  <c r="G325"/>
  <c r="E323"/>
  <c r="C321"/>
  <c r="H318"/>
  <c r="F316"/>
  <c r="D314"/>
  <c r="B312"/>
  <c r="G309"/>
  <c r="E307"/>
  <c r="C305"/>
  <c r="H302"/>
  <c r="F300"/>
  <c r="D298"/>
  <c r="B296"/>
  <c r="G293"/>
  <c r="E291"/>
  <c r="C289"/>
  <c r="H286"/>
  <c r="F284"/>
  <c r="D282"/>
  <c r="B280"/>
  <c r="G277"/>
  <c r="E275"/>
  <c r="C273"/>
  <c r="H270"/>
  <c r="F268"/>
  <c r="D266"/>
  <c r="B264"/>
  <c r="G261"/>
  <c r="E259"/>
  <c r="C257"/>
  <c r="H254"/>
  <c r="F252"/>
  <c r="D250"/>
  <c r="B248"/>
  <c r="G245"/>
  <c r="E243"/>
  <c r="C241"/>
  <c r="H238"/>
  <c r="F236"/>
  <c r="D234"/>
  <c r="F375"/>
  <c r="D373"/>
  <c r="B371"/>
  <c r="G368"/>
  <c r="E366"/>
  <c r="C364"/>
  <c r="H361"/>
  <c r="F359"/>
  <c r="D357"/>
  <c r="B355"/>
  <c r="G352"/>
  <c r="E350"/>
  <c r="C348"/>
  <c r="H345"/>
  <c r="F343"/>
  <c r="D341"/>
  <c r="B339"/>
  <c r="G336"/>
  <c r="E334"/>
  <c r="C332"/>
  <c r="H329"/>
  <c r="F327"/>
  <c r="D325"/>
  <c r="B323"/>
  <c r="G320"/>
  <c r="E318"/>
  <c r="C316"/>
  <c r="H313"/>
  <c r="F311"/>
  <c r="D309"/>
  <c r="B307"/>
  <c r="G304"/>
  <c r="E302"/>
  <c r="C300"/>
  <c r="H297"/>
  <c r="F295"/>
  <c r="D293"/>
  <c r="B291"/>
  <c r="G288"/>
  <c r="E286"/>
  <c r="C284"/>
  <c r="H281"/>
  <c r="F279"/>
  <c r="D277"/>
  <c r="B275"/>
  <c r="G272"/>
  <c r="E270"/>
  <c r="C268"/>
  <c r="H265"/>
  <c r="F263"/>
  <c r="D261"/>
  <c r="B259"/>
  <c r="G256"/>
  <c r="E254"/>
  <c r="C252"/>
  <c r="H249"/>
  <c r="F247"/>
  <c r="D245"/>
  <c r="B243"/>
  <c r="G240"/>
  <c r="E238"/>
  <c r="C236"/>
  <c r="H233"/>
  <c r="F231"/>
  <c r="F374"/>
  <c r="D372"/>
  <c r="B370"/>
  <c r="G367"/>
  <c r="E365"/>
  <c r="C363"/>
  <c r="H360"/>
  <c r="F358"/>
  <c r="D356"/>
  <c r="B354"/>
  <c r="G351"/>
  <c r="E349"/>
  <c r="C347"/>
  <c r="H344"/>
  <c r="F342"/>
  <c r="D340"/>
  <c r="B338"/>
  <c r="G335"/>
  <c r="E333"/>
  <c r="C331"/>
  <c r="H328"/>
  <c r="F326"/>
  <c r="D324"/>
  <c r="B322"/>
  <c r="G319"/>
  <c r="E317"/>
  <c r="C315"/>
  <c r="H312"/>
  <c r="F310"/>
  <c r="D308"/>
  <c r="B306"/>
  <c r="G303"/>
  <c r="E301"/>
  <c r="C299"/>
  <c r="H296"/>
  <c r="F294"/>
  <c r="D292"/>
  <c r="B290"/>
  <c r="G287"/>
  <c r="E285"/>
  <c r="C283"/>
  <c r="H280"/>
  <c r="F278"/>
  <c r="D276"/>
  <c r="B274"/>
  <c r="G271"/>
  <c r="E269"/>
  <c r="C267"/>
  <c r="H264"/>
  <c r="F262"/>
  <c r="D260"/>
  <c r="B258"/>
  <c r="G255"/>
  <c r="E253"/>
  <c r="C251"/>
  <c r="H248"/>
  <c r="F246"/>
  <c r="D244"/>
  <c r="B242"/>
  <c r="G239"/>
  <c r="E237"/>
  <c r="C235"/>
  <c r="H232"/>
  <c r="F230"/>
  <c r="G374"/>
  <c r="E372"/>
  <c r="C370"/>
  <c r="H367"/>
  <c r="F365"/>
  <c r="D363"/>
  <c r="B361"/>
  <c r="G358"/>
  <c r="E356"/>
  <c r="C354"/>
  <c r="H351"/>
  <c r="F349"/>
  <c r="D347"/>
  <c r="B345"/>
  <c r="G342"/>
  <c r="E340"/>
  <c r="C338"/>
  <c r="H335"/>
  <c r="F333"/>
  <c r="D331"/>
  <c r="B329"/>
  <c r="G326"/>
  <c r="E324"/>
  <c r="C322"/>
  <c r="H319"/>
  <c r="F317"/>
  <c r="D315"/>
  <c r="B313"/>
  <c r="G310"/>
  <c r="E308"/>
  <c r="C306"/>
  <c r="H303"/>
  <c r="F301"/>
  <c r="D299"/>
  <c r="B297"/>
  <c r="G294"/>
  <c r="E292"/>
  <c r="C290"/>
  <c r="H287"/>
  <c r="F285"/>
  <c r="D283"/>
  <c r="B281"/>
  <c r="G278"/>
  <c r="E276"/>
  <c r="C274"/>
  <c r="H271"/>
  <c r="F269"/>
  <c r="D267"/>
  <c r="B265"/>
  <c r="G262"/>
  <c r="E260"/>
  <c r="C258"/>
  <c r="H255"/>
  <c r="F253"/>
  <c r="D251"/>
  <c r="B249"/>
  <c r="G246"/>
  <c r="E244"/>
  <c r="C242"/>
  <c r="H239"/>
  <c r="F237"/>
  <c r="D235"/>
  <c r="B233"/>
  <c r="C230"/>
  <c r="G227"/>
  <c r="E225"/>
  <c r="C223"/>
  <c r="C373"/>
  <c r="G369"/>
  <c r="E367"/>
  <c r="C365"/>
  <c r="H362"/>
  <c r="F360"/>
  <c r="D358"/>
  <c r="B356"/>
  <c r="G353"/>
  <c r="E351"/>
  <c r="C349"/>
  <c r="H346"/>
  <c r="F344"/>
  <c r="D342"/>
  <c r="B340"/>
  <c r="G337"/>
  <c r="E335"/>
  <c r="C333"/>
  <c r="H330"/>
  <c r="F328"/>
  <c r="D326"/>
  <c r="B324"/>
  <c r="G321"/>
  <c r="E319"/>
  <c r="C317"/>
  <c r="H314"/>
  <c r="F312"/>
  <c r="D310"/>
  <c r="B308"/>
  <c r="G305"/>
  <c r="E303"/>
  <c r="C301"/>
  <c r="H298"/>
  <c r="F296"/>
  <c r="D294"/>
  <c r="B292"/>
  <c r="G289"/>
  <c r="E287"/>
  <c r="C285"/>
  <c r="H282"/>
  <c r="F280"/>
  <c r="D278"/>
  <c r="B276"/>
  <c r="G273"/>
  <c r="E271"/>
  <c r="C269"/>
  <c r="H266"/>
  <c r="F264"/>
  <c r="D262"/>
  <c r="B260"/>
  <c r="G257"/>
  <c r="E255"/>
  <c r="C253"/>
  <c r="H250"/>
  <c r="F248"/>
  <c r="D246"/>
  <c r="B244"/>
  <c r="G241"/>
  <c r="E239"/>
  <c r="C237"/>
  <c r="H234"/>
  <c r="F232"/>
  <c r="H373"/>
  <c r="F371"/>
  <c r="D369"/>
  <c r="B367"/>
  <c r="G364"/>
  <c r="E362"/>
  <c r="C360"/>
  <c r="H357"/>
  <c r="F355"/>
  <c r="D353"/>
  <c r="B351"/>
  <c r="G348"/>
  <c r="E346"/>
  <c r="C344"/>
  <c r="H341"/>
  <c r="F339"/>
  <c r="D337"/>
  <c r="B335"/>
  <c r="G332"/>
  <c r="E330"/>
  <c r="C328"/>
  <c r="H325"/>
  <c r="F323"/>
  <c r="D321"/>
  <c r="B319"/>
  <c r="G316"/>
  <c r="E314"/>
  <c r="C312"/>
  <c r="H309"/>
  <c r="F307"/>
  <c r="D305"/>
  <c r="B303"/>
  <c r="G300"/>
  <c r="E298"/>
  <c r="C296"/>
  <c r="H293"/>
  <c r="F291"/>
  <c r="D289"/>
  <c r="B287"/>
  <c r="G284"/>
  <c r="E282"/>
  <c r="C280"/>
  <c r="H277"/>
  <c r="F275"/>
  <c r="D273"/>
  <c r="B271"/>
  <c r="G268"/>
  <c r="E266"/>
  <c r="C264"/>
  <c r="H261"/>
  <c r="F259"/>
  <c r="D257"/>
  <c r="B255"/>
  <c r="G252"/>
  <c r="E250"/>
  <c r="C248"/>
  <c r="H245"/>
  <c r="F243"/>
  <c r="D241"/>
  <c r="B239"/>
  <c r="G236"/>
  <c r="E234"/>
  <c r="C232"/>
  <c r="C375"/>
  <c r="H372"/>
  <c r="F370"/>
  <c r="D368"/>
  <c r="B366"/>
  <c r="G363"/>
  <c r="E361"/>
  <c r="C359"/>
  <c r="H356"/>
  <c r="F354"/>
  <c r="D352"/>
  <c r="B350"/>
  <c r="G347"/>
  <c r="E345"/>
  <c r="C343"/>
  <c r="H340"/>
  <c r="F338"/>
  <c r="D336"/>
  <c r="B334"/>
  <c r="G331"/>
  <c r="E329"/>
  <c r="C327"/>
  <c r="H324"/>
  <c r="F322"/>
  <c r="D320"/>
  <c r="B318"/>
  <c r="G315"/>
  <c r="E313"/>
  <c r="C311"/>
  <c r="H308"/>
  <c r="F306"/>
  <c r="D304"/>
  <c r="B302"/>
  <c r="G299"/>
  <c r="E297"/>
  <c r="C295"/>
  <c r="H292"/>
  <c r="F290"/>
  <c r="D288"/>
  <c r="B286"/>
  <c r="G283"/>
  <c r="E281"/>
  <c r="C279"/>
  <c r="H276"/>
  <c r="F274"/>
  <c r="D272"/>
  <c r="B270"/>
  <c r="G267"/>
  <c r="E265"/>
  <c r="C263"/>
  <c r="H260"/>
  <c r="F258"/>
  <c r="D256"/>
  <c r="B254"/>
  <c r="G251"/>
  <c r="E249"/>
  <c r="C247"/>
  <c r="H244"/>
  <c r="F242"/>
  <c r="D240"/>
  <c r="B238"/>
  <c r="G235"/>
  <c r="E233"/>
  <c r="C231"/>
  <c r="D375"/>
  <c r="B373"/>
  <c r="G370"/>
  <c r="E368"/>
  <c r="C366"/>
  <c r="H363"/>
  <c r="F361"/>
  <c r="D359"/>
  <c r="B357"/>
  <c r="G354"/>
  <c r="E352"/>
  <c r="C350"/>
  <c r="H347"/>
  <c r="F345"/>
  <c r="D343"/>
  <c r="B341"/>
  <c r="G338"/>
  <c r="E336"/>
  <c r="C334"/>
  <c r="H331"/>
  <c r="F329"/>
  <c r="D327"/>
  <c r="B325"/>
  <c r="G322"/>
  <c r="E320"/>
  <c r="C318"/>
  <c r="H315"/>
  <c r="F313"/>
  <c r="D311"/>
  <c r="B309"/>
  <c r="G306"/>
  <c r="E304"/>
  <c r="C302"/>
  <c r="H299"/>
  <c r="F297"/>
  <c r="D295"/>
  <c r="B293"/>
  <c r="G290"/>
  <c r="E288"/>
  <c r="C286"/>
  <c r="H283"/>
  <c r="F281"/>
  <c r="D279"/>
  <c r="B277"/>
  <c r="G274"/>
  <c r="E272"/>
  <c r="C270"/>
  <c r="H267"/>
  <c r="F265"/>
  <c r="D263"/>
  <c r="B261"/>
  <c r="G258"/>
  <c r="E256"/>
  <c r="C254"/>
  <c r="H251"/>
  <c r="F249"/>
  <c r="D247"/>
  <c r="B245"/>
  <c r="G242"/>
  <c r="E240"/>
  <c r="C238"/>
  <c r="H235"/>
  <c r="F233"/>
  <c r="H230"/>
  <c r="D228"/>
  <c r="B226"/>
  <c r="G223"/>
  <c r="F17"/>
  <c r="D370"/>
  <c r="B368"/>
  <c r="G365"/>
  <c r="E363"/>
  <c r="C361"/>
  <c r="H358"/>
  <c r="F356"/>
  <c r="D354"/>
  <c r="B352"/>
  <c r="G349"/>
  <c r="E347"/>
  <c r="C345"/>
  <c r="H342"/>
  <c r="F340"/>
  <c r="D338"/>
  <c r="B336"/>
  <c r="G333"/>
  <c r="E331"/>
  <c r="C329"/>
  <c r="H326"/>
  <c r="F324"/>
  <c r="D322"/>
  <c r="B320"/>
  <c r="G317"/>
  <c r="E315"/>
  <c r="C313"/>
  <c r="H310"/>
  <c r="F308"/>
  <c r="D306"/>
  <c r="B304"/>
  <c r="G301"/>
  <c r="E299"/>
  <c r="C297"/>
  <c r="H294"/>
  <c r="F292"/>
  <c r="D290"/>
  <c r="B288"/>
  <c r="G285"/>
  <c r="E283"/>
  <c r="C281"/>
  <c r="H278"/>
  <c r="F276"/>
  <c r="D274"/>
  <c r="B272"/>
  <c r="G269"/>
  <c r="E267"/>
  <c r="C265"/>
  <c r="H262"/>
  <c r="F260"/>
  <c r="D258"/>
  <c r="B256"/>
  <c r="G253"/>
  <c r="E251"/>
  <c r="C249"/>
  <c r="H246"/>
  <c r="F244"/>
  <c r="D242"/>
  <c r="B240"/>
  <c r="G237"/>
  <c r="E235"/>
  <c r="C233"/>
  <c r="E374"/>
  <c r="C372"/>
  <c r="H369"/>
  <c r="F367"/>
  <c r="D365"/>
  <c r="B363"/>
  <c r="G360"/>
  <c r="E358"/>
  <c r="C356"/>
  <c r="H353"/>
  <c r="F351"/>
  <c r="D349"/>
  <c r="B347"/>
  <c r="G344"/>
  <c r="E342"/>
  <c r="C340"/>
  <c r="H337"/>
  <c r="F335"/>
  <c r="D333"/>
  <c r="B331"/>
  <c r="G328"/>
  <c r="E326"/>
  <c r="C324"/>
  <c r="H321"/>
  <c r="F319"/>
  <c r="D317"/>
  <c r="B315"/>
  <c r="G312"/>
  <c r="E310"/>
  <c r="C308"/>
  <c r="H305"/>
  <c r="F303"/>
  <c r="D301"/>
  <c r="B299"/>
  <c r="G296"/>
  <c r="E294"/>
  <c r="C292"/>
  <c r="H289"/>
  <c r="F287"/>
  <c r="D285"/>
  <c r="B283"/>
  <c r="G280"/>
  <c r="E278"/>
  <c r="C276"/>
  <c r="H273"/>
  <c r="F271"/>
  <c r="D269"/>
  <c r="B267"/>
  <c r="G264"/>
  <c r="E262"/>
  <c r="C260"/>
  <c r="H257"/>
  <c r="F255"/>
  <c r="D253"/>
  <c r="B251"/>
  <c r="G248"/>
  <c r="E246"/>
  <c r="C244"/>
  <c r="H241"/>
  <c r="F239"/>
  <c r="D237"/>
  <c r="B235"/>
  <c r="G232"/>
  <c r="G375"/>
  <c r="E373"/>
  <c r="C371"/>
  <c r="H368"/>
  <c r="F366"/>
  <c r="D364"/>
  <c r="B362"/>
  <c r="G359"/>
  <c r="E357"/>
  <c r="C355"/>
  <c r="H352"/>
  <c r="F350"/>
  <c r="D348"/>
  <c r="B346"/>
  <c r="G343"/>
  <c r="E341"/>
  <c r="C339"/>
  <c r="H336"/>
  <c r="F334"/>
  <c r="D332"/>
  <c r="B330"/>
  <c r="G327"/>
  <c r="E325"/>
  <c r="C323"/>
  <c r="H320"/>
  <c r="F318"/>
  <c r="D316"/>
  <c r="B314"/>
  <c r="G311"/>
  <c r="E309"/>
  <c r="C307"/>
  <c r="H304"/>
  <c r="F302"/>
  <c r="D300"/>
  <c r="B298"/>
  <c r="G295"/>
  <c r="E293"/>
  <c r="C291"/>
  <c r="H288"/>
  <c r="F286"/>
  <c r="D284"/>
  <c r="B282"/>
  <c r="G279"/>
  <c r="E277"/>
  <c r="C275"/>
  <c r="H272"/>
  <c r="F270"/>
  <c r="D268"/>
  <c r="B266"/>
  <c r="G263"/>
  <c r="E261"/>
  <c r="C259"/>
  <c r="H256"/>
  <c r="F254"/>
  <c r="D252"/>
  <c r="B250"/>
  <c r="G247"/>
  <c r="E245"/>
  <c r="C243"/>
  <c r="H240"/>
  <c r="F238"/>
  <c r="D236"/>
  <c r="B234"/>
  <c r="G231"/>
  <c r="H375"/>
  <c r="D366"/>
  <c r="C357"/>
  <c r="B348"/>
  <c r="H338"/>
  <c r="G329"/>
  <c r="F320"/>
  <c r="E311"/>
  <c r="D302"/>
  <c r="C293"/>
  <c r="B284"/>
  <c r="H274"/>
  <c r="G265"/>
  <c r="F256"/>
  <c r="E247"/>
  <c r="D238"/>
  <c r="G372"/>
  <c r="F363"/>
  <c r="E354"/>
  <c r="D345"/>
  <c r="C336"/>
  <c r="B327"/>
  <c r="H317"/>
  <c r="G308"/>
  <c r="F299"/>
  <c r="E290"/>
  <c r="D281"/>
  <c r="C272"/>
  <c r="B263"/>
  <c r="H253"/>
  <c r="G244"/>
  <c r="F235"/>
  <c r="G371"/>
  <c r="F362"/>
  <c r="E353"/>
  <c r="D344"/>
  <c r="C335"/>
  <c r="B326"/>
  <c r="H316"/>
  <c r="G307"/>
  <c r="F298"/>
  <c r="E289"/>
  <c r="D280"/>
  <c r="C271"/>
  <c r="B262"/>
  <c r="H252"/>
  <c r="G243"/>
  <c r="F234"/>
  <c r="F373"/>
  <c r="B369"/>
  <c r="E364"/>
  <c r="H359"/>
  <c r="D355"/>
  <c r="G350"/>
  <c r="C346"/>
  <c r="F341"/>
  <c r="B337"/>
  <c r="E332"/>
  <c r="H327"/>
  <c r="D323"/>
  <c r="G318"/>
  <c r="C314"/>
  <c r="F309"/>
  <c r="B305"/>
  <c r="E300"/>
  <c r="H295"/>
  <c r="D291"/>
  <c r="G286"/>
  <c r="C282"/>
  <c r="F277"/>
  <c r="B273"/>
  <c r="E268"/>
  <c r="H263"/>
  <c r="D259"/>
  <c r="G254"/>
  <c r="C250"/>
  <c r="F245"/>
  <c r="B241"/>
  <c r="E236"/>
  <c r="H231"/>
  <c r="F226"/>
  <c r="B222"/>
  <c r="G219"/>
  <c r="E217"/>
  <c r="C215"/>
  <c r="H212"/>
  <c r="F210"/>
  <c r="D208"/>
  <c r="B206"/>
  <c r="G203"/>
  <c r="E201"/>
  <c r="C199"/>
  <c r="H196"/>
  <c r="F194"/>
  <c r="D192"/>
  <c r="B190"/>
  <c r="G187"/>
  <c r="E185"/>
  <c r="C183"/>
  <c r="H180"/>
  <c r="F178"/>
  <c r="D176"/>
  <c r="B174"/>
  <c r="G171"/>
  <c r="E169"/>
  <c r="C167"/>
  <c r="H164"/>
  <c r="F162"/>
  <c r="D160"/>
  <c r="B158"/>
  <c r="G155"/>
  <c r="E153"/>
  <c r="C151"/>
  <c r="H148"/>
  <c r="F146"/>
  <c r="D144"/>
  <c r="B142"/>
  <c r="G139"/>
  <c r="E137"/>
  <c r="C135"/>
  <c r="H132"/>
  <c r="F130"/>
  <c r="D128"/>
  <c r="B126"/>
  <c r="G123"/>
  <c r="E121"/>
  <c r="C119"/>
  <c r="H116"/>
  <c r="F114"/>
  <c r="D112"/>
  <c r="B110"/>
  <c r="G107"/>
  <c r="E105"/>
  <c r="C103"/>
  <c r="H100"/>
  <c r="F98"/>
  <c r="D96"/>
  <c r="B94"/>
  <c r="G91"/>
  <c r="E89"/>
  <c r="C87"/>
  <c r="D230"/>
  <c r="H227"/>
  <c r="F225"/>
  <c r="D223"/>
  <c r="B221"/>
  <c r="G218"/>
  <c r="E216"/>
  <c r="C214"/>
  <c r="H211"/>
  <c r="F209"/>
  <c r="D207"/>
  <c r="B205"/>
  <c r="G202"/>
  <c r="E200"/>
  <c r="C198"/>
  <c r="H195"/>
  <c r="F193"/>
  <c r="D191"/>
  <c r="B189"/>
  <c r="G186"/>
  <c r="E184"/>
  <c r="C182"/>
  <c r="H179"/>
  <c r="F177"/>
  <c r="D175"/>
  <c r="B173"/>
  <c r="G170"/>
  <c r="E168"/>
  <c r="C166"/>
  <c r="H163"/>
  <c r="F161"/>
  <c r="D159"/>
  <c r="B157"/>
  <c r="G154"/>
  <c r="E152"/>
  <c r="C150"/>
  <c r="H147"/>
  <c r="F145"/>
  <c r="D143"/>
  <c r="B141"/>
  <c r="G138"/>
  <c r="E136"/>
  <c r="C134"/>
  <c r="H131"/>
  <c r="F129"/>
  <c r="D127"/>
  <c r="B125"/>
  <c r="G122"/>
  <c r="E120"/>
  <c r="C118"/>
  <c r="H115"/>
  <c r="F113"/>
  <c r="D111"/>
  <c r="B109"/>
  <c r="G106"/>
  <c r="E104"/>
  <c r="C102"/>
  <c r="H99"/>
  <c r="F97"/>
  <c r="D95"/>
  <c r="B93"/>
  <c r="G90"/>
  <c r="E88"/>
  <c r="C86"/>
  <c r="E230"/>
  <c r="B228"/>
  <c r="G225"/>
  <c r="E223"/>
  <c r="C221"/>
  <c r="H218"/>
  <c r="F216"/>
  <c r="D214"/>
  <c r="B212"/>
  <c r="G209"/>
  <c r="E207"/>
  <c r="C205"/>
  <c r="H202"/>
  <c r="F200"/>
  <c r="D198"/>
  <c r="B196"/>
  <c r="G193"/>
  <c r="E191"/>
  <c r="C189"/>
  <c r="H186"/>
  <c r="F184"/>
  <c r="D182"/>
  <c r="B180"/>
  <c r="G177"/>
  <c r="E175"/>
  <c r="C173"/>
  <c r="H170"/>
  <c r="F168"/>
  <c r="D166"/>
  <c r="B164"/>
  <c r="G161"/>
  <c r="E159"/>
  <c r="C157"/>
  <c r="H154"/>
  <c r="F152"/>
  <c r="D150"/>
  <c r="B148"/>
  <c r="G145"/>
  <c r="E143"/>
  <c r="C141"/>
  <c r="H138"/>
  <c r="F136"/>
  <c r="D134"/>
  <c r="B132"/>
  <c r="G129"/>
  <c r="E127"/>
  <c r="C125"/>
  <c r="H122"/>
  <c r="F120"/>
  <c r="D118"/>
  <c r="B116"/>
  <c r="G113"/>
  <c r="E111"/>
  <c r="C109"/>
  <c r="H106"/>
  <c r="F104"/>
  <c r="D102"/>
  <c r="B100"/>
  <c r="G97"/>
  <c r="E95"/>
  <c r="C93"/>
  <c r="B232"/>
  <c r="G228"/>
  <c r="E226"/>
  <c r="C224"/>
  <c r="H221"/>
  <c r="F219"/>
  <c r="D217"/>
  <c r="B215"/>
  <c r="G212"/>
  <c r="E210"/>
  <c r="C208"/>
  <c r="H205"/>
  <c r="F203"/>
  <c r="D201"/>
  <c r="B199"/>
  <c r="G196"/>
  <c r="E194"/>
  <c r="C192"/>
  <c r="H189"/>
  <c r="F187"/>
  <c r="D185"/>
  <c r="B183"/>
  <c r="G180"/>
  <c r="E178"/>
  <c r="C176"/>
  <c r="H173"/>
  <c r="F171"/>
  <c r="D169"/>
  <c r="B167"/>
  <c r="G164"/>
  <c r="E162"/>
  <c r="F368"/>
  <c r="E359"/>
  <c r="D350"/>
  <c r="C341"/>
  <c r="B332"/>
  <c r="H322"/>
  <c r="G313"/>
  <c r="F304"/>
  <c r="E295"/>
  <c r="D286"/>
  <c r="C277"/>
  <c r="B268"/>
  <c r="H258"/>
  <c r="G249"/>
  <c r="F240"/>
  <c r="B375"/>
  <c r="H365"/>
  <c r="G356"/>
  <c r="F347"/>
  <c r="E338"/>
  <c r="D329"/>
  <c r="C320"/>
  <c r="B311"/>
  <c r="H301"/>
  <c r="G292"/>
  <c r="F283"/>
  <c r="E274"/>
  <c r="D265"/>
  <c r="C256"/>
  <c r="B247"/>
  <c r="H237"/>
  <c r="B374"/>
  <c r="H364"/>
  <c r="G355"/>
  <c r="F346"/>
  <c r="E337"/>
  <c r="D328"/>
  <c r="C319"/>
  <c r="B310"/>
  <c r="H300"/>
  <c r="G291"/>
  <c r="F282"/>
  <c r="E273"/>
  <c r="D264"/>
  <c r="C255"/>
  <c r="B246"/>
  <c r="H236"/>
  <c r="C374"/>
  <c r="F369"/>
  <c r="B365"/>
  <c r="E360"/>
  <c r="H355"/>
  <c r="D351"/>
  <c r="G346"/>
  <c r="C342"/>
  <c r="F337"/>
  <c r="B333"/>
  <c r="E328"/>
  <c r="H323"/>
  <c r="D319"/>
  <c r="G314"/>
  <c r="C310"/>
  <c r="F305"/>
  <c r="B301"/>
  <c r="E296"/>
  <c r="H291"/>
  <c r="D287"/>
  <c r="G282"/>
  <c r="C278"/>
  <c r="F273"/>
  <c r="B269"/>
  <c r="E264"/>
  <c r="H259"/>
  <c r="D255"/>
  <c r="G250"/>
  <c r="C246"/>
  <c r="F241"/>
  <c r="B237"/>
  <c r="E232"/>
  <c r="C227"/>
  <c r="F222"/>
  <c r="D220"/>
  <c r="B218"/>
  <c r="G215"/>
  <c r="E213"/>
  <c r="C211"/>
  <c r="H208"/>
  <c r="F206"/>
  <c r="D204"/>
  <c r="B202"/>
  <c r="G199"/>
  <c r="E197"/>
  <c r="C195"/>
  <c r="H192"/>
  <c r="F190"/>
  <c r="D188"/>
  <c r="B186"/>
  <c r="G183"/>
  <c r="E181"/>
  <c r="C179"/>
  <c r="H176"/>
  <c r="F174"/>
  <c r="D172"/>
  <c r="B170"/>
  <c r="G167"/>
  <c r="E165"/>
  <c r="C163"/>
  <c r="H160"/>
  <c r="F158"/>
  <c r="D156"/>
  <c r="B154"/>
  <c r="G151"/>
  <c r="E149"/>
  <c r="C147"/>
  <c r="H144"/>
  <c r="F142"/>
  <c r="D140"/>
  <c r="B138"/>
  <c r="G135"/>
  <c r="E133"/>
  <c r="C131"/>
  <c r="H128"/>
  <c r="F126"/>
  <c r="D124"/>
  <c r="B122"/>
  <c r="G119"/>
  <c r="E117"/>
  <c r="C115"/>
  <c r="H112"/>
  <c r="F110"/>
  <c r="D108"/>
  <c r="B106"/>
  <c r="G103"/>
  <c r="E101"/>
  <c r="C99"/>
  <c r="H96"/>
  <c r="F94"/>
  <c r="D92"/>
  <c r="B90"/>
  <c r="G87"/>
  <c r="D231"/>
  <c r="E228"/>
  <c r="C226"/>
  <c r="H223"/>
  <c r="F221"/>
  <c r="D219"/>
  <c r="B217"/>
  <c r="G214"/>
  <c r="E212"/>
  <c r="C210"/>
  <c r="H207"/>
  <c r="F205"/>
  <c r="D203"/>
  <c r="B201"/>
  <c r="G198"/>
  <c r="E196"/>
  <c r="C194"/>
  <c r="H191"/>
  <c r="F189"/>
  <c r="D187"/>
  <c r="B185"/>
  <c r="G182"/>
  <c r="E180"/>
  <c r="C178"/>
  <c r="H175"/>
  <c r="F173"/>
  <c r="D171"/>
  <c r="B169"/>
  <c r="G166"/>
  <c r="E164"/>
  <c r="C162"/>
  <c r="H159"/>
  <c r="F157"/>
  <c r="D155"/>
  <c r="B153"/>
  <c r="G150"/>
  <c r="E148"/>
  <c r="C146"/>
  <c r="H143"/>
  <c r="F141"/>
  <c r="D139"/>
  <c r="B137"/>
  <c r="G134"/>
  <c r="E132"/>
  <c r="C130"/>
  <c r="H127"/>
  <c r="F125"/>
  <c r="D123"/>
  <c r="B121"/>
  <c r="G118"/>
  <c r="E116"/>
  <c r="C114"/>
  <c r="H111"/>
  <c r="F109"/>
  <c r="D107"/>
  <c r="B105"/>
  <c r="G102"/>
  <c r="E100"/>
  <c r="C98"/>
  <c r="H95"/>
  <c r="F93"/>
  <c r="D91"/>
  <c r="B89"/>
  <c r="G86"/>
  <c r="E231"/>
  <c r="F228"/>
  <c r="D226"/>
  <c r="B224"/>
  <c r="G221"/>
  <c r="E219"/>
  <c r="C217"/>
  <c r="H214"/>
  <c r="F212"/>
  <c r="D210"/>
  <c r="B208"/>
  <c r="G205"/>
  <c r="E203"/>
  <c r="C201"/>
  <c r="H198"/>
  <c r="F196"/>
  <c r="D194"/>
  <c r="B192"/>
  <c r="G189"/>
  <c r="E187"/>
  <c r="C185"/>
  <c r="H182"/>
  <c r="F180"/>
  <c r="D178"/>
  <c r="B176"/>
  <c r="G173"/>
  <c r="E171"/>
  <c r="C169"/>
  <c r="H166"/>
  <c r="F164"/>
  <c r="D162"/>
  <c r="B160"/>
  <c r="G157"/>
  <c r="E155"/>
  <c r="C153"/>
  <c r="H150"/>
  <c r="F148"/>
  <c r="D146"/>
  <c r="B144"/>
  <c r="G141"/>
  <c r="E139"/>
  <c r="C137"/>
  <c r="H134"/>
  <c r="F132"/>
  <c r="D130"/>
  <c r="B128"/>
  <c r="G125"/>
  <c r="E123"/>
  <c r="C121"/>
  <c r="H118"/>
  <c r="F116"/>
  <c r="D114"/>
  <c r="B112"/>
  <c r="G109"/>
  <c r="E107"/>
  <c r="C105"/>
  <c r="H102"/>
  <c r="F100"/>
  <c r="D98"/>
  <c r="B96"/>
  <c r="G93"/>
  <c r="E91"/>
  <c r="D229"/>
  <c r="B227"/>
  <c r="G224"/>
  <c r="E222"/>
  <c r="C220"/>
  <c r="H217"/>
  <c r="F215"/>
  <c r="D213"/>
  <c r="B211"/>
  <c r="G208"/>
  <c r="E206"/>
  <c r="C204"/>
  <c r="H201"/>
  <c r="F199"/>
  <c r="D197"/>
  <c r="B195"/>
  <c r="G192"/>
  <c r="E190"/>
  <c r="C188"/>
  <c r="H185"/>
  <c r="F183"/>
  <c r="D181"/>
  <c r="B179"/>
  <c r="G176"/>
  <c r="E174"/>
  <c r="C172"/>
  <c r="H169"/>
  <c r="F167"/>
  <c r="D165"/>
  <c r="H370"/>
  <c r="G361"/>
  <c r="F352"/>
  <c r="E343"/>
  <c r="D334"/>
  <c r="C325"/>
  <c r="B316"/>
  <c r="H306"/>
  <c r="G297"/>
  <c r="F288"/>
  <c r="E279"/>
  <c r="D270"/>
  <c r="C261"/>
  <c r="B252"/>
  <c r="H242"/>
  <c r="G233"/>
  <c r="C368"/>
  <c r="B359"/>
  <c r="H349"/>
  <c r="G340"/>
  <c r="F331"/>
  <c r="E322"/>
  <c r="D313"/>
  <c r="C304"/>
  <c r="B295"/>
  <c r="H285"/>
  <c r="G276"/>
  <c r="F267"/>
  <c r="E258"/>
  <c r="D249"/>
  <c r="C240"/>
  <c r="B231"/>
  <c r="C367"/>
  <c r="B358"/>
  <c r="H348"/>
  <c r="G339"/>
  <c r="F330"/>
  <c r="E321"/>
  <c r="D312"/>
  <c r="C303"/>
  <c r="B294"/>
  <c r="H284"/>
  <c r="G275"/>
  <c r="F266"/>
  <c r="E257"/>
  <c r="D248"/>
  <c r="C239"/>
  <c r="B230"/>
  <c r="D371"/>
  <c r="G366"/>
  <c r="C362"/>
  <c r="F357"/>
  <c r="B353"/>
  <c r="E348"/>
  <c r="H343"/>
  <c r="D339"/>
  <c r="G334"/>
  <c r="C330"/>
  <c r="F325"/>
  <c r="B321"/>
  <c r="E316"/>
  <c r="H311"/>
  <c r="D307"/>
  <c r="G302"/>
  <c r="C298"/>
  <c r="F293"/>
  <c r="B289"/>
  <c r="E284"/>
  <c r="H279"/>
  <c r="D275"/>
  <c r="G270"/>
  <c r="C266"/>
  <c r="F261"/>
  <c r="B257"/>
  <c r="E252"/>
  <c r="H247"/>
  <c r="D243"/>
  <c r="G238"/>
  <c r="C234"/>
  <c r="H228"/>
  <c r="D224"/>
  <c r="H220"/>
  <c r="F218"/>
  <c r="D216"/>
  <c r="B214"/>
  <c r="G211"/>
  <c r="E209"/>
  <c r="C207"/>
  <c r="H204"/>
  <c r="F202"/>
  <c r="D200"/>
  <c r="B198"/>
  <c r="G195"/>
  <c r="E193"/>
  <c r="C191"/>
  <c r="H188"/>
  <c r="F186"/>
  <c r="D184"/>
  <c r="B182"/>
  <c r="G179"/>
  <c r="E177"/>
  <c r="C175"/>
  <c r="H172"/>
  <c r="F170"/>
  <c r="D168"/>
  <c r="B166"/>
  <c r="G163"/>
  <c r="E161"/>
  <c r="C159"/>
  <c r="H156"/>
  <c r="F154"/>
  <c r="D152"/>
  <c r="B150"/>
  <c r="G147"/>
  <c r="E145"/>
  <c r="C143"/>
  <c r="H140"/>
  <c r="F138"/>
  <c r="D136"/>
  <c r="B134"/>
  <c r="G131"/>
  <c r="E129"/>
  <c r="C127"/>
  <c r="H124"/>
  <c r="F122"/>
  <c r="D120"/>
  <c r="B118"/>
  <c r="G115"/>
  <c r="E113"/>
  <c r="C111"/>
  <c r="H108"/>
  <c r="F106"/>
  <c r="D104"/>
  <c r="B102"/>
  <c r="G99"/>
  <c r="E97"/>
  <c r="C95"/>
  <c r="H92"/>
  <c r="F90"/>
  <c r="D88"/>
  <c r="B86"/>
  <c r="B229"/>
  <c r="G226"/>
  <c r="E224"/>
  <c r="C222"/>
  <c r="H219"/>
  <c r="F217"/>
  <c r="D215"/>
  <c r="B213"/>
  <c r="G210"/>
  <c r="E208"/>
  <c r="C206"/>
  <c r="H203"/>
  <c r="F201"/>
  <c r="D199"/>
  <c r="B197"/>
  <c r="G194"/>
  <c r="E192"/>
  <c r="C190"/>
  <c r="H187"/>
  <c r="F185"/>
  <c r="D183"/>
  <c r="B181"/>
  <c r="G178"/>
  <c r="E176"/>
  <c r="C174"/>
  <c r="H171"/>
  <c r="F169"/>
  <c r="D167"/>
  <c r="B165"/>
  <c r="G162"/>
  <c r="E160"/>
  <c r="C158"/>
  <c r="H155"/>
  <c r="F153"/>
  <c r="D151"/>
  <c r="B149"/>
  <c r="G146"/>
  <c r="E144"/>
  <c r="C142"/>
  <c r="H139"/>
  <c r="F137"/>
  <c r="D135"/>
  <c r="B133"/>
  <c r="G130"/>
  <c r="E128"/>
  <c r="C126"/>
  <c r="H123"/>
  <c r="F121"/>
  <c r="D119"/>
  <c r="B117"/>
  <c r="G114"/>
  <c r="E112"/>
  <c r="C110"/>
  <c r="H107"/>
  <c r="F105"/>
  <c r="D103"/>
  <c r="B101"/>
  <c r="G98"/>
  <c r="E96"/>
  <c r="C94"/>
  <c r="H91"/>
  <c r="F89"/>
  <c r="D87"/>
  <c r="B85"/>
  <c r="C229"/>
  <c r="H226"/>
  <c r="F224"/>
  <c r="D222"/>
  <c r="B220"/>
  <c r="G217"/>
  <c r="E215"/>
  <c r="C213"/>
  <c r="H210"/>
  <c r="F208"/>
  <c r="D206"/>
  <c r="B204"/>
  <c r="G201"/>
  <c r="E199"/>
  <c r="C197"/>
  <c r="H194"/>
  <c r="F192"/>
  <c r="D190"/>
  <c r="B188"/>
  <c r="G185"/>
  <c r="E183"/>
  <c r="C181"/>
  <c r="H178"/>
  <c r="F176"/>
  <c r="D174"/>
  <c r="B172"/>
  <c r="G169"/>
  <c r="E167"/>
  <c r="C165"/>
  <c r="H162"/>
  <c r="F160"/>
  <c r="D158"/>
  <c r="B156"/>
  <c r="G153"/>
  <c r="E151"/>
  <c r="C149"/>
  <c r="H146"/>
  <c r="F144"/>
  <c r="D142"/>
  <c r="B140"/>
  <c r="G137"/>
  <c r="E135"/>
  <c r="C133"/>
  <c r="H130"/>
  <c r="F128"/>
  <c r="D126"/>
  <c r="B124"/>
  <c r="G121"/>
  <c r="E119"/>
  <c r="C117"/>
  <c r="H114"/>
  <c r="G362"/>
  <c r="E241"/>
  <c r="B278"/>
  <c r="F314"/>
  <c r="C351"/>
  <c r="E242"/>
  <c r="B279"/>
  <c r="F315"/>
  <c r="C352"/>
  <c r="C245"/>
  <c r="G281"/>
  <c r="D318"/>
  <c r="H354"/>
  <c r="E375"/>
  <c r="H374"/>
  <c r="B372"/>
  <c r="D374"/>
  <c r="B17"/>
  <c r="E371"/>
  <c r="G373"/>
  <c r="E16"/>
  <c r="I64" i="1"/>
  <c r="M64"/>
  <c r="Q64"/>
  <c r="U64"/>
  <c r="Y64"/>
  <c r="H64"/>
  <c r="L64"/>
  <c r="P64"/>
  <c r="T64"/>
  <c r="X64"/>
  <c r="AB64"/>
  <c r="G64"/>
  <c r="K64"/>
  <c r="O64"/>
  <c r="S64"/>
  <c r="W64"/>
  <c r="AA64"/>
  <c r="F64"/>
  <c r="J64"/>
  <c r="N64"/>
  <c r="R64"/>
  <c r="V64"/>
  <c r="Z64"/>
  <c r="E64"/>
  <c r="J6" i="7" l="1"/>
  <c r="I41" i="1" s="1"/>
  <c r="E11" i="7"/>
  <c r="I42" i="1" s="1"/>
  <c r="E253" i="6"/>
  <c r="F253" s="1"/>
  <c r="G253" s="1"/>
  <c r="H253" s="1"/>
  <c r="I253" s="1"/>
  <c r="J253" s="1"/>
  <c r="K253" s="1"/>
  <c r="L253" s="1"/>
  <c r="M253" s="1"/>
  <c r="N253" s="1"/>
  <c r="O253" s="1"/>
  <c r="P253" s="1"/>
  <c r="Q253" s="1"/>
  <c r="R253" s="1"/>
  <c r="S253" s="1"/>
  <c r="T253" s="1"/>
  <c r="U253" s="1"/>
  <c r="V253" s="1"/>
  <c r="W253" s="1"/>
  <c r="X253" s="1"/>
  <c r="Y253" s="1"/>
  <c r="Z253" s="1"/>
  <c r="AA253" s="1"/>
  <c r="AB253" s="1"/>
  <c r="D249"/>
  <c r="AC90" i="1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Q57" i="6"/>
  <c r="D233"/>
  <c r="D230"/>
  <c r="D224"/>
  <c r="I35" i="1"/>
  <c r="AC84"/>
  <c r="AB84"/>
  <c r="AA84"/>
  <c r="Z84"/>
  <c r="Y84"/>
  <c r="E89"/>
  <c r="O77" i="6"/>
  <c r="N72"/>
  <c r="P72" s="1"/>
  <c r="N76"/>
  <c r="P76" s="1"/>
  <c r="N75"/>
  <c r="P75" s="1"/>
  <c r="N74"/>
  <c r="P74" s="1"/>
  <c r="N73"/>
  <c r="P73" s="1"/>
  <c r="L72"/>
  <c r="I78"/>
  <c r="I76"/>
  <c r="I74"/>
  <c r="I72"/>
  <c r="D218"/>
  <c r="H218" s="1"/>
  <c r="D217"/>
  <c r="H217" s="1"/>
  <c r="D216"/>
  <c r="H216" s="1"/>
  <c r="D210"/>
  <c r="H210" s="1"/>
  <c r="D209"/>
  <c r="H209" s="1"/>
  <c r="D208"/>
  <c r="H208" s="1"/>
  <c r="D202"/>
  <c r="H202" s="1"/>
  <c r="D201"/>
  <c r="H201" s="1"/>
  <c r="D200"/>
  <c r="H200" s="1"/>
  <c r="D194"/>
  <c r="H194" s="1"/>
  <c r="D193"/>
  <c r="H193" s="1"/>
  <c r="D192"/>
  <c r="H192" s="1"/>
  <c r="D187"/>
  <c r="H187" s="1"/>
  <c r="D186"/>
  <c r="H186" s="1"/>
  <c r="D185"/>
  <c r="H185" s="1"/>
  <c r="M175"/>
  <c r="G175"/>
  <c r="D175"/>
  <c r="H175" s="1"/>
  <c r="M174"/>
  <c r="G174"/>
  <c r="D174"/>
  <c r="H174" s="1"/>
  <c r="M173"/>
  <c r="G173"/>
  <c r="D173"/>
  <c r="H173" s="1"/>
  <c r="M172"/>
  <c r="G172"/>
  <c r="D172"/>
  <c r="H172" s="1"/>
  <c r="M171"/>
  <c r="G171"/>
  <c r="D171"/>
  <c r="H171" s="1"/>
  <c r="M170"/>
  <c r="G170"/>
  <c r="D170"/>
  <c r="H170" s="1"/>
  <c r="M161"/>
  <c r="G161"/>
  <c r="D161"/>
  <c r="H161" s="1"/>
  <c r="M160"/>
  <c r="G160"/>
  <c r="D160"/>
  <c r="H160" s="1"/>
  <c r="M159"/>
  <c r="G159"/>
  <c r="D159"/>
  <c r="H159" s="1"/>
  <c r="M158"/>
  <c r="G158"/>
  <c r="D158"/>
  <c r="H158" s="1"/>
  <c r="M157"/>
  <c r="G157"/>
  <c r="D157"/>
  <c r="H157" s="1"/>
  <c r="M156"/>
  <c r="G156"/>
  <c r="D156"/>
  <c r="H156" s="1"/>
  <c r="M149"/>
  <c r="G149"/>
  <c r="D149"/>
  <c r="H149" s="1"/>
  <c r="M148"/>
  <c r="G148"/>
  <c r="D148"/>
  <c r="H148" s="1"/>
  <c r="M147"/>
  <c r="G147"/>
  <c r="D147"/>
  <c r="H147" s="1"/>
  <c r="M146"/>
  <c r="G146"/>
  <c r="D146"/>
  <c r="H146" s="1"/>
  <c r="M145"/>
  <c r="G145"/>
  <c r="D145"/>
  <c r="H145" s="1"/>
  <c r="M144"/>
  <c r="G144"/>
  <c r="D144"/>
  <c r="H144" s="1"/>
  <c r="M139"/>
  <c r="G139"/>
  <c r="D139"/>
  <c r="H139" s="1"/>
  <c r="M138"/>
  <c r="G138"/>
  <c r="D138"/>
  <c r="H138" s="1"/>
  <c r="M137"/>
  <c r="G137"/>
  <c r="D137"/>
  <c r="H137" s="1"/>
  <c r="M136"/>
  <c r="G136"/>
  <c r="D136"/>
  <c r="H136" s="1"/>
  <c r="M135"/>
  <c r="G135"/>
  <c r="D135"/>
  <c r="H135" s="1"/>
  <c r="M134"/>
  <c r="G134"/>
  <c r="D134"/>
  <c r="H134" s="1"/>
  <c r="M129"/>
  <c r="G129"/>
  <c r="D129"/>
  <c r="H129" s="1"/>
  <c r="M128"/>
  <c r="G128"/>
  <c r="D128"/>
  <c r="H128" s="1"/>
  <c r="M127"/>
  <c r="G127"/>
  <c r="D127"/>
  <c r="H127" s="1"/>
  <c r="M126"/>
  <c r="G126"/>
  <c r="D126"/>
  <c r="H126" s="1"/>
  <c r="M125"/>
  <c r="G125"/>
  <c r="D125"/>
  <c r="H125" s="1"/>
  <c r="M124"/>
  <c r="G124"/>
  <c r="D124"/>
  <c r="H124" s="1"/>
  <c r="D117"/>
  <c r="F79"/>
  <c r="Z86" s="1"/>
  <c r="F78"/>
  <c r="D81" s="1"/>
  <c r="C48" i="1"/>
  <c r="E86" s="1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P9" i="7" l="1"/>
  <c r="K83" i="1" s="1"/>
  <c r="Y9" i="7"/>
  <c r="AH9"/>
  <c r="W9"/>
  <c r="R83" i="1" s="1"/>
  <c r="R9" i="7"/>
  <c r="M83" i="1" s="1"/>
  <c r="AF9" i="7"/>
  <c r="N9"/>
  <c r="I83" i="1" s="1"/>
  <c r="AD9" i="7"/>
  <c r="U9"/>
  <c r="P83" i="1" s="1"/>
  <c r="L9" i="7"/>
  <c r="G83" i="1" s="1"/>
  <c r="AB9" i="7"/>
  <c r="S9"/>
  <c r="N83" i="1" s="1"/>
  <c r="J9" i="7"/>
  <c r="E83" i="1" s="1"/>
  <c r="Z9" i="7"/>
  <c r="Q9"/>
  <c r="L83" i="1" s="1"/>
  <c r="AG9" i="7"/>
  <c r="X9"/>
  <c r="S83" i="1" s="1"/>
  <c r="O9" i="7"/>
  <c r="J83" i="1" s="1"/>
  <c r="AE9" i="7"/>
  <c r="V9"/>
  <c r="Q83" i="1" s="1"/>
  <c r="M9" i="7"/>
  <c r="H83" i="1" s="1"/>
  <c r="AC9" i="7"/>
  <c r="T9"/>
  <c r="O83" i="1" s="1"/>
  <c r="K9" i="7"/>
  <c r="F83" i="1" s="1"/>
  <c r="AA9" i="7"/>
  <c r="E224" i="6"/>
  <c r="E249"/>
  <c r="X81"/>
  <c r="AB81"/>
  <c r="Y86"/>
  <c r="AA81"/>
  <c r="X86"/>
  <c r="AB86"/>
  <c r="Z81"/>
  <c r="AA86"/>
  <c r="Y81"/>
  <c r="P77"/>
  <c r="H130"/>
  <c r="H150"/>
  <c r="H176"/>
  <c r="H219"/>
  <c r="H211"/>
  <c r="H203"/>
  <c r="H195"/>
  <c r="I218"/>
  <c r="I217"/>
  <c r="I216"/>
  <c r="I210"/>
  <c r="I209"/>
  <c r="I208"/>
  <c r="I201"/>
  <c r="I200"/>
  <c r="I194"/>
  <c r="I193"/>
  <c r="I192"/>
  <c r="I187"/>
  <c r="I186"/>
  <c r="I185"/>
  <c r="H188"/>
  <c r="I202"/>
  <c r="H162"/>
  <c r="H140"/>
  <c r="I171"/>
  <c r="I175"/>
  <c r="I170"/>
  <c r="I174"/>
  <c r="I173"/>
  <c r="I172"/>
  <c r="I157"/>
  <c r="I161"/>
  <c r="I156"/>
  <c r="I160"/>
  <c r="I159"/>
  <c r="I158"/>
  <c r="I145"/>
  <c r="I149"/>
  <c r="I144"/>
  <c r="I148"/>
  <c r="I147"/>
  <c r="I146"/>
  <c r="I135"/>
  <c r="I139"/>
  <c r="I134"/>
  <c r="I138"/>
  <c r="I137"/>
  <c r="I136"/>
  <c r="I129"/>
  <c r="I128"/>
  <c r="I127"/>
  <c r="I126"/>
  <c r="I125"/>
  <c r="I124"/>
  <c r="D82"/>
  <c r="W86"/>
  <c r="V86"/>
  <c r="U86"/>
  <c r="T86"/>
  <c r="S86"/>
  <c r="R86"/>
  <c r="Q86"/>
  <c r="P86"/>
  <c r="O86"/>
  <c r="N86"/>
  <c r="M86"/>
  <c r="J86"/>
  <c r="L86"/>
  <c r="K86"/>
  <c r="I86"/>
  <c r="H86"/>
  <c r="G86"/>
  <c r="F86"/>
  <c r="E86"/>
  <c r="D86"/>
  <c r="G81"/>
  <c r="K81"/>
  <c r="O81"/>
  <c r="S81"/>
  <c r="W81"/>
  <c r="J81"/>
  <c r="N81"/>
  <c r="R81"/>
  <c r="V81"/>
  <c r="I81"/>
  <c r="M81"/>
  <c r="Q81"/>
  <c r="U81"/>
  <c r="H81"/>
  <c r="L81"/>
  <c r="P81"/>
  <c r="T81"/>
  <c r="F81"/>
  <c r="E81"/>
  <c r="S41"/>
  <c r="C50" i="1" l="1"/>
  <c r="I36" s="1"/>
  <c r="I37" s="1"/>
  <c r="F224" i="6"/>
  <c r="F249"/>
  <c r="I219"/>
  <c r="I211"/>
  <c r="I195"/>
  <c r="I203"/>
  <c r="I188"/>
  <c r="I150"/>
  <c r="I176"/>
  <c r="I162"/>
  <c r="I140"/>
  <c r="I130"/>
  <c r="E82"/>
  <c r="D85"/>
  <c r="E88" i="1" l="1"/>
  <c r="G224" i="6"/>
  <c r="G249"/>
  <c r="H249" s="1"/>
  <c r="F82"/>
  <c r="E85"/>
  <c r="H14"/>
  <c r="H15"/>
  <c r="H16"/>
  <c r="M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 s="1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X84" i="1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H224" i="6" l="1"/>
  <c r="N51"/>
  <c r="I249"/>
  <c r="H51"/>
  <c r="H65"/>
  <c r="N65"/>
  <c r="O29"/>
  <c r="I29"/>
  <c r="P11"/>
  <c r="R11" s="1"/>
  <c r="P12"/>
  <c r="R12" s="1"/>
  <c r="P9"/>
  <c r="R9" s="1"/>
  <c r="P10"/>
  <c r="R10" s="1"/>
  <c r="P7"/>
  <c r="R7" s="1"/>
  <c r="P8"/>
  <c r="R8" s="1"/>
  <c r="P5"/>
  <c r="R5" s="1"/>
  <c r="P6"/>
  <c r="R6" s="1"/>
  <c r="P3"/>
  <c r="R3" s="1"/>
  <c r="P2"/>
  <c r="R2" s="1"/>
  <c r="P4"/>
  <c r="R4" s="1"/>
  <c r="P1"/>
  <c r="P24"/>
  <c r="R24" s="1"/>
  <c r="P22"/>
  <c r="R22" s="1"/>
  <c r="P23"/>
  <c r="R23" s="1"/>
  <c r="P20"/>
  <c r="R20" s="1"/>
  <c r="P21"/>
  <c r="R21" s="1"/>
  <c r="P18"/>
  <c r="R18" s="1"/>
  <c r="P19"/>
  <c r="R19" s="1"/>
  <c r="P16"/>
  <c r="R16" s="1"/>
  <c r="P17"/>
  <c r="R17" s="1"/>
  <c r="P13"/>
  <c r="R13" s="1"/>
  <c r="P15"/>
  <c r="R15" s="1"/>
  <c r="P14"/>
  <c r="R14" s="1"/>
  <c r="G82"/>
  <c r="F85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62"/>
  <c r="I64"/>
  <c r="O64"/>
  <c r="H18"/>
  <c r="N18"/>
  <c r="H23"/>
  <c r="N23"/>
  <c r="H25"/>
  <c r="N25"/>
  <c r="H27"/>
  <c r="N27"/>
  <c r="H35"/>
  <c r="N35"/>
  <c r="I36"/>
  <c r="I39" s="1"/>
  <c r="O36"/>
  <c r="O39" s="1"/>
  <c r="I224" l="1"/>
  <c r="J249"/>
  <c r="R1"/>
  <c r="O65"/>
  <c r="O51"/>
  <c r="I65"/>
  <c r="I51"/>
  <c r="N39"/>
  <c r="N29"/>
  <c r="H39"/>
  <c r="O19"/>
  <c r="H29"/>
  <c r="N19"/>
  <c r="I19"/>
  <c r="H19"/>
  <c r="H82"/>
  <c r="G85"/>
  <c r="C30" i="1"/>
  <c r="Q53" i="6" s="1"/>
  <c r="J224" l="1"/>
  <c r="K249"/>
  <c r="R27"/>
  <c r="F26" i="1" s="1"/>
  <c r="E25"/>
  <c r="E26"/>
  <c r="Q52" i="6"/>
  <c r="S52" s="1"/>
  <c r="S53"/>
  <c r="I82"/>
  <c r="H85"/>
  <c r="C49" i="1"/>
  <c r="E63"/>
  <c r="D223" i="6" s="1"/>
  <c r="D225" s="1"/>
  <c r="D226" l="1"/>
  <c r="K224"/>
  <c r="D258"/>
  <c r="L249"/>
  <c r="F25" i="1"/>
  <c r="D25" s="1"/>
  <c r="E87"/>
  <c r="Z87"/>
  <c r="V87"/>
  <c r="R87"/>
  <c r="N87"/>
  <c r="J87"/>
  <c r="F87"/>
  <c r="AA87"/>
  <c r="W87"/>
  <c r="S87"/>
  <c r="O87"/>
  <c r="K87"/>
  <c r="G87"/>
  <c r="AB87"/>
  <c r="X87"/>
  <c r="T87"/>
  <c r="P87"/>
  <c r="L87"/>
  <c r="H87"/>
  <c r="AC87"/>
  <c r="Y87"/>
  <c r="U87"/>
  <c r="Q87"/>
  <c r="M87"/>
  <c r="I87"/>
  <c r="D26"/>
  <c r="F63"/>
  <c r="E223" i="6" s="1"/>
  <c r="E225" s="1"/>
  <c r="S55"/>
  <c r="C33" i="1" s="1"/>
  <c r="J82" i="6"/>
  <c r="I85"/>
  <c r="E226" l="1"/>
  <c r="E227" s="1"/>
  <c r="E238" s="1"/>
  <c r="D228"/>
  <c r="D227"/>
  <c r="D238" s="1"/>
  <c r="L224"/>
  <c r="E258"/>
  <c r="E65" i="1"/>
  <c r="M249" i="6"/>
  <c r="C35" i="1"/>
  <c r="G63"/>
  <c r="F223" i="6" s="1"/>
  <c r="F225" s="1"/>
  <c r="C34" i="1"/>
  <c r="K82" i="6"/>
  <c r="J85"/>
  <c r="E228" l="1"/>
  <c r="F226"/>
  <c r="F227" s="1"/>
  <c r="F238" s="1"/>
  <c r="M224"/>
  <c r="F65" i="1"/>
  <c r="E75"/>
  <c r="F258" i="6"/>
  <c r="N249"/>
  <c r="E68" i="1"/>
  <c r="H63"/>
  <c r="G223" i="6" s="1"/>
  <c r="G225" s="1"/>
  <c r="L82"/>
  <c r="K85"/>
  <c r="G226" l="1"/>
  <c r="G227" s="1"/>
  <c r="G238" s="1"/>
  <c r="F228"/>
  <c r="N224"/>
  <c r="D237"/>
  <c r="F75" i="1"/>
  <c r="G65"/>
  <c r="G258" i="6"/>
  <c r="E74" i="1"/>
  <c r="O249" i="6"/>
  <c r="F68" i="1"/>
  <c r="I63"/>
  <c r="H223" i="6" s="1"/>
  <c r="H225" s="1"/>
  <c r="M82"/>
  <c r="L85"/>
  <c r="G228" l="1"/>
  <c r="H226"/>
  <c r="H227" s="1"/>
  <c r="H238" s="1"/>
  <c r="D242"/>
  <c r="D241" s="1"/>
  <c r="O224"/>
  <c r="E237"/>
  <c r="E242"/>
  <c r="G75" i="1"/>
  <c r="H65"/>
  <c r="H258" i="6"/>
  <c r="F74" i="1"/>
  <c r="P249" i="6"/>
  <c r="J63" i="1"/>
  <c r="I223" i="6" s="1"/>
  <c r="I225" s="1"/>
  <c r="G68" i="1"/>
  <c r="N82" i="6"/>
  <c r="M85"/>
  <c r="I226" l="1"/>
  <c r="I227" s="1"/>
  <c r="I238" s="1"/>
  <c r="H228"/>
  <c r="P224"/>
  <c r="F237"/>
  <c r="E241"/>
  <c r="F242"/>
  <c r="H75" i="1"/>
  <c r="G74"/>
  <c r="I65"/>
  <c r="I258" i="6"/>
  <c r="Q249"/>
  <c r="K63" i="1"/>
  <c r="J223" i="6" s="1"/>
  <c r="J225" s="1"/>
  <c r="H68" i="1"/>
  <c r="O82" i="6"/>
  <c r="N85"/>
  <c r="I228" l="1"/>
  <c r="J226"/>
  <c r="J227" s="1"/>
  <c r="J238" s="1"/>
  <c r="F241"/>
  <c r="Q224"/>
  <c r="G237"/>
  <c r="I75" i="1"/>
  <c r="H74"/>
  <c r="J65"/>
  <c r="J258" i="6"/>
  <c r="R249"/>
  <c r="L63" i="1"/>
  <c r="K223" i="6" s="1"/>
  <c r="K225" s="1"/>
  <c r="I68" i="1"/>
  <c r="P82" i="6"/>
  <c r="O85"/>
  <c r="K226" l="1"/>
  <c r="K227" s="1"/>
  <c r="K238" s="1"/>
  <c r="J228"/>
  <c r="G242"/>
  <c r="G241" s="1"/>
  <c r="R224"/>
  <c r="H237"/>
  <c r="H242"/>
  <c r="J75" i="1"/>
  <c r="I74"/>
  <c r="K65"/>
  <c r="K258" i="6"/>
  <c r="S249"/>
  <c r="M63" i="1"/>
  <c r="L223" i="6" s="1"/>
  <c r="L225" s="1"/>
  <c r="J68" i="1"/>
  <c r="Q82" i="6"/>
  <c r="P85"/>
  <c r="K228" l="1"/>
  <c r="L226"/>
  <c r="L227" s="1"/>
  <c r="L238" s="1"/>
  <c r="H241"/>
  <c r="S224"/>
  <c r="I237"/>
  <c r="I242"/>
  <c r="K75" i="1"/>
  <c r="J74"/>
  <c r="L65"/>
  <c r="L258" i="6"/>
  <c r="T249"/>
  <c r="N63" i="1"/>
  <c r="M223" i="6" s="1"/>
  <c r="M225" s="1"/>
  <c r="K68" i="1"/>
  <c r="R82" i="6"/>
  <c r="Q85"/>
  <c r="M226" l="1"/>
  <c r="M227" s="1"/>
  <c r="M238" s="1"/>
  <c r="L228"/>
  <c r="T224"/>
  <c r="J237"/>
  <c r="J242"/>
  <c r="L75" i="1"/>
  <c r="K74"/>
  <c r="M65"/>
  <c r="M258" i="6"/>
  <c r="U249"/>
  <c r="O63" i="1"/>
  <c r="N223" i="6" s="1"/>
  <c r="N225" s="1"/>
  <c r="S82"/>
  <c r="R85"/>
  <c r="M228" l="1"/>
  <c r="N226"/>
  <c r="N227" s="1"/>
  <c r="N238" s="1"/>
  <c r="J241"/>
  <c r="U224"/>
  <c r="I241"/>
  <c r="M75" i="1"/>
  <c r="N65"/>
  <c r="N258" i="6"/>
  <c r="V249"/>
  <c r="P63" i="1"/>
  <c r="O223" i="6" s="1"/>
  <c r="O225" s="1"/>
  <c r="M68" i="1"/>
  <c r="T82" i="6"/>
  <c r="S85"/>
  <c r="O226" l="1"/>
  <c r="O227" s="1"/>
  <c r="O238" s="1"/>
  <c r="N228"/>
  <c r="V224"/>
  <c r="L237"/>
  <c r="L242"/>
  <c r="N75" i="1"/>
  <c r="M74"/>
  <c r="O65"/>
  <c r="O258" i="6"/>
  <c r="W249"/>
  <c r="Q63" i="1"/>
  <c r="P223" i="6" s="1"/>
  <c r="P225" s="1"/>
  <c r="N68" i="1"/>
  <c r="U82" i="6"/>
  <c r="T85"/>
  <c r="P226" l="1"/>
  <c r="P227" s="1"/>
  <c r="P238" s="1"/>
  <c r="O228"/>
  <c r="L241"/>
  <c r="W224"/>
  <c r="M237"/>
  <c r="M242"/>
  <c r="O75" i="1"/>
  <c r="N74"/>
  <c r="P65"/>
  <c r="P258" i="6"/>
  <c r="X249"/>
  <c r="R63" i="1"/>
  <c r="Q223" i="6" s="1"/>
  <c r="Q225" s="1"/>
  <c r="O68" i="1"/>
  <c r="V82" i="6"/>
  <c r="U85"/>
  <c r="Q226" l="1"/>
  <c r="Q227" s="1"/>
  <c r="Q238" s="1"/>
  <c r="P228"/>
  <c r="X224"/>
  <c r="N237"/>
  <c r="N242"/>
  <c r="P75" i="1"/>
  <c r="O74"/>
  <c r="Q65"/>
  <c r="Q258" i="6"/>
  <c r="Y249"/>
  <c r="S63" i="1"/>
  <c r="R223" i="6" s="1"/>
  <c r="R225" s="1"/>
  <c r="P68" i="1"/>
  <c r="W82" i="6"/>
  <c r="V85"/>
  <c r="Q228" l="1"/>
  <c r="R226"/>
  <c r="R227" s="1"/>
  <c r="R238" s="1"/>
  <c r="Y224"/>
  <c r="M241"/>
  <c r="O237"/>
  <c r="O242"/>
  <c r="Q75" i="1"/>
  <c r="P74"/>
  <c r="R65"/>
  <c r="R258" i="6"/>
  <c r="Z249"/>
  <c r="W85"/>
  <c r="X82"/>
  <c r="T63" i="1"/>
  <c r="S223" i="6" s="1"/>
  <c r="S225" s="1"/>
  <c r="Q68" i="1"/>
  <c r="S226" i="6" l="1"/>
  <c r="S227" s="1"/>
  <c r="S238" s="1"/>
  <c r="R228"/>
  <c r="O241"/>
  <c r="Z224"/>
  <c r="N241"/>
  <c r="P237"/>
  <c r="P242"/>
  <c r="R75" i="1"/>
  <c r="Q74"/>
  <c r="S65"/>
  <c r="S258" i="6"/>
  <c r="AA249"/>
  <c r="X85"/>
  <c r="Y82"/>
  <c r="U63" i="1"/>
  <c r="T223" i="6" s="1"/>
  <c r="T225" s="1"/>
  <c r="R68" i="1"/>
  <c r="S228" i="6" l="1"/>
  <c r="T226"/>
  <c r="T227" s="1"/>
  <c r="T238" s="1"/>
  <c r="AA224"/>
  <c r="Q237"/>
  <c r="Q242"/>
  <c r="S75" i="1"/>
  <c r="R74"/>
  <c r="T65"/>
  <c r="T258" i="6"/>
  <c r="AB249"/>
  <c r="Y85"/>
  <c r="Z82"/>
  <c r="V63" i="1"/>
  <c r="U223" i="6" s="1"/>
  <c r="U225" s="1"/>
  <c r="S68" i="1"/>
  <c r="S71"/>
  <c r="T228" i="6" l="1"/>
  <c r="U226"/>
  <c r="U227" s="1"/>
  <c r="U238" s="1"/>
  <c r="Q241"/>
  <c r="AB224"/>
  <c r="P241"/>
  <c r="R237"/>
  <c r="R242"/>
  <c r="T75" i="1"/>
  <c r="S74"/>
  <c r="U65"/>
  <c r="U258" i="6"/>
  <c r="T71" i="1"/>
  <c r="E71"/>
  <c r="F71"/>
  <c r="G71"/>
  <c r="H71"/>
  <c r="I71"/>
  <c r="J71"/>
  <c r="K71"/>
  <c r="L71"/>
  <c r="M71"/>
  <c r="N71"/>
  <c r="O71"/>
  <c r="P71"/>
  <c r="Q71"/>
  <c r="R71"/>
  <c r="G70"/>
  <c r="H70"/>
  <c r="I70"/>
  <c r="J70"/>
  <c r="K70"/>
  <c r="M70"/>
  <c r="N70"/>
  <c r="O70"/>
  <c r="P70"/>
  <c r="Q70"/>
  <c r="R70"/>
  <c r="S70"/>
  <c r="E70"/>
  <c r="F70"/>
  <c r="Z85" i="6"/>
  <c r="AA82"/>
  <c r="W63" i="1"/>
  <c r="V223" i="6" s="1"/>
  <c r="V225" s="1"/>
  <c r="T68" i="1"/>
  <c r="U228" i="6" l="1"/>
  <c r="V226"/>
  <c r="V227" s="1"/>
  <c r="V238" s="1"/>
  <c r="R241"/>
  <c r="S237"/>
  <c r="S242"/>
  <c r="U75" i="1"/>
  <c r="T74"/>
  <c r="V65"/>
  <c r="V258" i="6"/>
  <c r="T70" i="1"/>
  <c r="U71"/>
  <c r="AA85" i="6"/>
  <c r="AB82"/>
  <c r="AB85" s="1"/>
  <c r="X63" i="1"/>
  <c r="W223" i="6" s="1"/>
  <c r="W225" s="1"/>
  <c r="U68" i="1"/>
  <c r="E76"/>
  <c r="F76"/>
  <c r="I76"/>
  <c r="O76"/>
  <c r="G76"/>
  <c r="R76"/>
  <c r="Q76"/>
  <c r="J76"/>
  <c r="P76"/>
  <c r="K76"/>
  <c r="H76"/>
  <c r="N76"/>
  <c r="M76"/>
  <c r="W226" i="6" l="1"/>
  <c r="W227" s="1"/>
  <c r="W238" s="1"/>
  <c r="V228"/>
  <c r="S241"/>
  <c r="T237"/>
  <c r="T242"/>
  <c r="V75" i="1"/>
  <c r="W65"/>
  <c r="W258" i="6"/>
  <c r="U74" i="1"/>
  <c r="Y63"/>
  <c r="X223" i="6" s="1"/>
  <c r="X225" s="1"/>
  <c r="S76" i="1"/>
  <c r="U70"/>
  <c r="V71"/>
  <c r="V68"/>
  <c r="W228" i="6" l="1"/>
  <c r="X226"/>
  <c r="X227" s="1"/>
  <c r="X238" s="1"/>
  <c r="T241"/>
  <c r="U237"/>
  <c r="U242"/>
  <c r="W75" i="1"/>
  <c r="V74"/>
  <c r="X65"/>
  <c r="X258" i="6"/>
  <c r="Z63" i="1"/>
  <c r="Y223" i="6" s="1"/>
  <c r="Y225" s="1"/>
  <c r="T76" i="1"/>
  <c r="V70"/>
  <c r="W71"/>
  <c r="W68"/>
  <c r="X228" i="6" l="1"/>
  <c r="Y226"/>
  <c r="Y227" s="1"/>
  <c r="Y238" s="1"/>
  <c r="U241"/>
  <c r="V237"/>
  <c r="V242"/>
  <c r="X75" i="1"/>
  <c r="W74"/>
  <c r="Y65"/>
  <c r="Y258" i="6"/>
  <c r="U76" i="1"/>
  <c r="AA63"/>
  <c r="Z223" i="6" s="1"/>
  <c r="Z225" s="1"/>
  <c r="W70" i="1"/>
  <c r="X71"/>
  <c r="X68"/>
  <c r="D88" i="6"/>
  <c r="E78" i="1" s="1"/>
  <c r="D67" i="6" s="1"/>
  <c r="D68" s="1"/>
  <c r="Y228" l="1"/>
  <c r="Z226"/>
  <c r="Z227" s="1"/>
  <c r="Z238" s="1"/>
  <c r="W237"/>
  <c r="W242"/>
  <c r="Y75" i="1"/>
  <c r="E79"/>
  <c r="D92" i="6" s="1"/>
  <c r="X74" i="1"/>
  <c r="Z65"/>
  <c r="Z258" i="6"/>
  <c r="AB63" i="1"/>
  <c r="AA223" i="6" s="1"/>
  <c r="AA225" s="1"/>
  <c r="V76" i="1"/>
  <c r="X70"/>
  <c r="Y68"/>
  <c r="E88" i="6"/>
  <c r="F78" i="1" s="1"/>
  <c r="E67" i="6" s="1"/>
  <c r="F88"/>
  <c r="G78" i="1" s="1"/>
  <c r="F67" i="6" l="1"/>
  <c r="F68" s="1"/>
  <c r="G79" i="1" s="1"/>
  <c r="D97" i="6"/>
  <c r="D98" s="1"/>
  <c r="D103"/>
  <c r="D104" s="1"/>
  <c r="D94"/>
  <c r="D95" s="1"/>
  <c r="D100"/>
  <c r="D101" s="1"/>
  <c r="D106"/>
  <c r="D107" s="1"/>
  <c r="AA226"/>
  <c r="AA227" s="1"/>
  <c r="AA238" s="1"/>
  <c r="Z228"/>
  <c r="V241"/>
  <c r="W76" i="1" s="1"/>
  <c r="X237" i="6"/>
  <c r="X242"/>
  <c r="Z75" i="1"/>
  <c r="E68" i="6"/>
  <c r="F79" i="1" s="1"/>
  <c r="F81" s="1"/>
  <c r="AA65"/>
  <c r="AA258" i="6"/>
  <c r="Y74" i="1"/>
  <c r="AC63"/>
  <c r="AB223" i="6" s="1"/>
  <c r="AB225" s="1"/>
  <c r="Z68" i="1"/>
  <c r="G88" i="6"/>
  <c r="H78" i="1" s="1"/>
  <c r="G67" i="6" l="1"/>
  <c r="G68" s="1"/>
  <c r="H79" i="1" s="1"/>
  <c r="D110" i="6"/>
  <c r="D111" s="1"/>
  <c r="AA228"/>
  <c r="AB226"/>
  <c r="AB227" s="1"/>
  <c r="AB238" s="1"/>
  <c r="X241"/>
  <c r="W241"/>
  <c r="X76" i="1" s="1"/>
  <c r="Y237" i="6"/>
  <c r="Y242"/>
  <c r="AA75" i="1"/>
  <c r="Z74"/>
  <c r="AB65"/>
  <c r="AB258" i="6"/>
  <c r="AA68" i="1"/>
  <c r="F82"/>
  <c r="E92" i="6"/>
  <c r="E94" s="1"/>
  <c r="E95" s="1"/>
  <c r="G81" i="1"/>
  <c r="G82"/>
  <c r="E82"/>
  <c r="E81"/>
  <c r="F92" i="6"/>
  <c r="F103" s="1"/>
  <c r="F104" s="1"/>
  <c r="H88"/>
  <c r="I78" i="1" s="1"/>
  <c r="H67" i="6" s="1"/>
  <c r="H68" s="1"/>
  <c r="I79" i="1" s="1"/>
  <c r="AB228" i="6" l="1"/>
  <c r="Z237"/>
  <c r="Z242"/>
  <c r="AB75" i="1"/>
  <c r="AA74"/>
  <c r="AC65"/>
  <c r="Y76"/>
  <c r="AB68"/>
  <c r="E106" i="6"/>
  <c r="E107" s="1"/>
  <c r="E97"/>
  <c r="E98" s="1"/>
  <c r="E100"/>
  <c r="E101" s="1"/>
  <c r="E103"/>
  <c r="E104" s="1"/>
  <c r="H81" i="1"/>
  <c r="H82"/>
  <c r="F106" i="6"/>
  <c r="F107" s="1"/>
  <c r="F97"/>
  <c r="F98" s="1"/>
  <c r="F100"/>
  <c r="F101" s="1"/>
  <c r="F94"/>
  <c r="F95" s="1"/>
  <c r="G92"/>
  <c r="I88"/>
  <c r="J78" i="1" s="1"/>
  <c r="I67" i="6" s="1"/>
  <c r="I68" s="1"/>
  <c r="J79" i="1" s="1"/>
  <c r="Y241" i="6" l="1"/>
  <c r="AA237"/>
  <c r="AA242"/>
  <c r="AC75" i="1"/>
  <c r="AB74"/>
  <c r="AC68"/>
  <c r="E110" i="6"/>
  <c r="I82" i="1"/>
  <c r="I81"/>
  <c r="F110" i="6"/>
  <c r="G106"/>
  <c r="G100"/>
  <c r="G101" s="1"/>
  <c r="G94"/>
  <c r="G95" s="1"/>
  <c r="G103"/>
  <c r="G104" s="1"/>
  <c r="G97"/>
  <c r="G98" s="1"/>
  <c r="H92"/>
  <c r="J88"/>
  <c r="K78" i="1" s="1"/>
  <c r="J67" i="6" s="1"/>
  <c r="J68" s="1"/>
  <c r="K79" i="1" s="1"/>
  <c r="Z76" l="1"/>
  <c r="Z241" i="6"/>
  <c r="AA76" i="1" s="1"/>
  <c r="AB237" i="6"/>
  <c r="AB242"/>
  <c r="E80" i="1"/>
  <c r="F111" i="6"/>
  <c r="G80" i="1" s="1"/>
  <c r="E111" i="6"/>
  <c r="F80" i="1" s="1"/>
  <c r="AC74"/>
  <c r="J81"/>
  <c r="J82"/>
  <c r="G107" i="6"/>
  <c r="G110" s="1"/>
  <c r="K88"/>
  <c r="L78" i="1" s="1"/>
  <c r="H106" i="6"/>
  <c r="H94"/>
  <c r="H95" s="1"/>
  <c r="H100"/>
  <c r="H101" s="1"/>
  <c r="H97"/>
  <c r="H98" s="1"/>
  <c r="H103"/>
  <c r="H104" s="1"/>
  <c r="I92"/>
  <c r="AB241" l="1"/>
  <c r="AA241"/>
  <c r="G111"/>
  <c r="H80" i="1" s="1"/>
  <c r="K82"/>
  <c r="K81"/>
  <c r="H107" i="6"/>
  <c r="H110" s="1"/>
  <c r="J92"/>
  <c r="I94"/>
  <c r="I95" s="1"/>
  <c r="I97"/>
  <c r="I98" s="1"/>
  <c r="I100"/>
  <c r="I101" s="1"/>
  <c r="I106"/>
  <c r="I107" s="1"/>
  <c r="I103"/>
  <c r="I104" s="1"/>
  <c r="L88"/>
  <c r="M78" i="1" s="1"/>
  <c r="L67" i="6" s="1"/>
  <c r="L68" s="1"/>
  <c r="M79" i="1" s="1"/>
  <c r="AB76" l="1"/>
  <c r="H111" i="6"/>
  <c r="I80" i="1" s="1"/>
  <c r="AC76"/>
  <c r="I110" i="6"/>
  <c r="M88"/>
  <c r="N78" i="1" s="1"/>
  <c r="M67" i="6" s="1"/>
  <c r="M68" s="1"/>
  <c r="N79" i="1" s="1"/>
  <c r="J94" i="6"/>
  <c r="J95" s="1"/>
  <c r="J97"/>
  <c r="J98" s="1"/>
  <c r="J106"/>
  <c r="J103"/>
  <c r="J104" s="1"/>
  <c r="J100"/>
  <c r="J101" s="1"/>
  <c r="I111" l="1"/>
  <c r="J80" i="1" s="1"/>
  <c r="M82"/>
  <c r="M81"/>
  <c r="L92" i="6"/>
  <c r="N88"/>
  <c r="O78" i="1" s="1"/>
  <c r="N67" i="6" s="1"/>
  <c r="N68" s="1"/>
  <c r="O79" i="1" s="1"/>
  <c r="J107" i="6"/>
  <c r="J110" s="1"/>
  <c r="J111" l="1"/>
  <c r="K80" i="1" s="1"/>
  <c r="N81"/>
  <c r="N82"/>
  <c r="L106" i="6"/>
  <c r="L103"/>
  <c r="L104" s="1"/>
  <c r="L94"/>
  <c r="L95" s="1"/>
  <c r="L100"/>
  <c r="L101" s="1"/>
  <c r="L97"/>
  <c r="L98" s="1"/>
  <c r="M92"/>
  <c r="O88"/>
  <c r="P78" i="1" s="1"/>
  <c r="O67" i="6" s="1"/>
  <c r="O68" s="1"/>
  <c r="P79" i="1" s="1"/>
  <c r="O81" l="1"/>
  <c r="O82"/>
  <c r="L107" i="6"/>
  <c r="L110" s="1"/>
  <c r="N92"/>
  <c r="P88"/>
  <c r="Q78" i="1" s="1"/>
  <c r="P67" i="6" s="1"/>
  <c r="P68" s="1"/>
  <c r="Q79" i="1" s="1"/>
  <c r="M100" i="6"/>
  <c r="M101" s="1"/>
  <c r="M103"/>
  <c r="M104" s="1"/>
  <c r="M94"/>
  <c r="M95" s="1"/>
  <c r="M106"/>
  <c r="M97"/>
  <c r="M98" s="1"/>
  <c r="L111" l="1"/>
  <c r="M80" i="1" s="1"/>
  <c r="P81"/>
  <c r="P82"/>
  <c r="M107" i="6"/>
  <c r="M110" s="1"/>
  <c r="Q88"/>
  <c r="R78" i="1" s="1"/>
  <c r="Q67" i="6" s="1"/>
  <c r="Q68" s="1"/>
  <c r="R79" i="1" s="1"/>
  <c r="N106" i="6"/>
  <c r="N100"/>
  <c r="N101" s="1"/>
  <c r="N97"/>
  <c r="N98" s="1"/>
  <c r="N103"/>
  <c r="N104" s="1"/>
  <c r="N94"/>
  <c r="N95" s="1"/>
  <c r="O92"/>
  <c r="M111" l="1"/>
  <c r="N80" i="1" s="1"/>
  <c r="Q82"/>
  <c r="Q81"/>
  <c r="N107" i="6"/>
  <c r="N110" s="1"/>
  <c r="O103"/>
  <c r="O104" s="1"/>
  <c r="O106"/>
  <c r="O107" s="1"/>
  <c r="O94"/>
  <c r="O95" s="1"/>
  <c r="O100"/>
  <c r="O101" s="1"/>
  <c r="O97"/>
  <c r="O98" s="1"/>
  <c r="P92"/>
  <c r="R88"/>
  <c r="S78" i="1" s="1"/>
  <c r="R67" i="6" s="1"/>
  <c r="R68" s="1"/>
  <c r="S79" i="1" s="1"/>
  <c r="N111" i="6" l="1"/>
  <c r="O80" i="1" s="1"/>
  <c r="R82"/>
  <c r="R81"/>
  <c r="Q92" i="6"/>
  <c r="S88"/>
  <c r="T78" i="1" s="1"/>
  <c r="S67" i="6" s="1"/>
  <c r="S68" s="1"/>
  <c r="T79" i="1" s="1"/>
  <c r="P106" i="6"/>
  <c r="P107" s="1"/>
  <c r="P97"/>
  <c r="P98" s="1"/>
  <c r="P94"/>
  <c r="P95" s="1"/>
  <c r="P100"/>
  <c r="P101" s="1"/>
  <c r="P103"/>
  <c r="P104" s="1"/>
  <c r="O110"/>
  <c r="O111" l="1"/>
  <c r="P80" i="1" s="1"/>
  <c r="S81"/>
  <c r="S82"/>
  <c r="P110" i="6"/>
  <c r="Q106"/>
  <c r="Q107" s="1"/>
  <c r="Q100"/>
  <c r="Q101" s="1"/>
  <c r="Q94"/>
  <c r="Q95" s="1"/>
  <c r="Q97"/>
  <c r="Q98" s="1"/>
  <c r="Q103"/>
  <c r="Q104" s="1"/>
  <c r="R92"/>
  <c r="T88"/>
  <c r="U78" i="1" s="1"/>
  <c r="T67" i="6" s="1"/>
  <c r="T68" s="1"/>
  <c r="U79" i="1" s="1"/>
  <c r="P111" i="6" l="1"/>
  <c r="Q80" i="1" s="1"/>
  <c r="T82"/>
  <c r="T81"/>
  <c r="S92" i="6"/>
  <c r="R106"/>
  <c r="R107" s="1"/>
  <c r="R103"/>
  <c r="R104" s="1"/>
  <c r="R94"/>
  <c r="R95" s="1"/>
  <c r="R97"/>
  <c r="R98" s="1"/>
  <c r="R100"/>
  <c r="R101" s="1"/>
  <c r="U88"/>
  <c r="V78" i="1" s="1"/>
  <c r="U67" i="6" s="1"/>
  <c r="U68" s="1"/>
  <c r="V79" i="1" s="1"/>
  <c r="Q110" i="6"/>
  <c r="Q111" l="1"/>
  <c r="R80" i="1" s="1"/>
  <c r="U81"/>
  <c r="U82"/>
  <c r="S106" i="6"/>
  <c r="S107" s="1"/>
  <c r="S97"/>
  <c r="S98" s="1"/>
  <c r="S94"/>
  <c r="S95" s="1"/>
  <c r="S103"/>
  <c r="S104" s="1"/>
  <c r="S100"/>
  <c r="S101" s="1"/>
  <c r="V88"/>
  <c r="W78" i="1" s="1"/>
  <c r="V67" i="6" s="1"/>
  <c r="V68" s="1"/>
  <c r="W79" i="1" s="1"/>
  <c r="T92" i="6"/>
  <c r="R110"/>
  <c r="R111" l="1"/>
  <c r="S80" i="1" s="1"/>
  <c r="V81"/>
  <c r="V82"/>
  <c r="S110" i="6"/>
  <c r="U92"/>
  <c r="W88"/>
  <c r="X88" s="1"/>
  <c r="Y88" s="1"/>
  <c r="Z88" s="1"/>
  <c r="AA88" s="1"/>
  <c r="AB88" s="1"/>
  <c r="T106"/>
  <c r="T107" s="1"/>
  <c r="T94"/>
  <c r="T95" s="1"/>
  <c r="T97"/>
  <c r="T98" s="1"/>
  <c r="T100"/>
  <c r="T101" s="1"/>
  <c r="T103"/>
  <c r="T104" s="1"/>
  <c r="S111" l="1"/>
  <c r="T80" i="1" s="1"/>
  <c r="Y78"/>
  <c r="X67" i="6" s="1"/>
  <c r="X68" s="1"/>
  <c r="Y79" i="1" s="1"/>
  <c r="W81"/>
  <c r="W82"/>
  <c r="X78"/>
  <c r="W67" i="6" s="1"/>
  <c r="W68" s="1"/>
  <c r="X79" i="1" s="1"/>
  <c r="U106" i="6"/>
  <c r="U107" s="1"/>
  <c r="U97"/>
  <c r="U98" s="1"/>
  <c r="U94"/>
  <c r="U95" s="1"/>
  <c r="U103"/>
  <c r="U104" s="1"/>
  <c r="U100"/>
  <c r="U101" s="1"/>
  <c r="V92"/>
  <c r="T110"/>
  <c r="T111" l="1"/>
  <c r="U80" i="1" s="1"/>
  <c r="Y81"/>
  <c r="X81"/>
  <c r="Z78"/>
  <c r="Y67" i="6" s="1"/>
  <c r="Y68" s="1"/>
  <c r="Z79" i="1" s="1"/>
  <c r="V106" i="6"/>
  <c r="V107" s="1"/>
  <c r="V100"/>
  <c r="V101" s="1"/>
  <c r="V97"/>
  <c r="V98" s="1"/>
  <c r="V94"/>
  <c r="V95" s="1"/>
  <c r="V103"/>
  <c r="V104" s="1"/>
  <c r="U110"/>
  <c r="U111" l="1"/>
  <c r="V80" i="1" s="1"/>
  <c r="W92" i="6"/>
  <c r="W97" s="1"/>
  <c r="W98" s="1"/>
  <c r="X82" i="1"/>
  <c r="Y82"/>
  <c r="X92" i="6"/>
  <c r="X97" s="1"/>
  <c r="X98" s="1"/>
  <c r="Z81" i="1"/>
  <c r="AA78"/>
  <c r="Z67" i="6" s="1"/>
  <c r="Z68" s="1"/>
  <c r="AA79" i="1" s="1"/>
  <c r="V110" i="6"/>
  <c r="V111" l="1"/>
  <c r="W80" i="1" s="1"/>
  <c r="X94" i="6"/>
  <c r="X95" s="1"/>
  <c r="W106"/>
  <c r="W107" s="1"/>
  <c r="X100"/>
  <c r="X101" s="1"/>
  <c r="W103"/>
  <c r="W104" s="1"/>
  <c r="X103"/>
  <c r="X104" s="1"/>
  <c r="Y92"/>
  <c r="Y106" s="1"/>
  <c r="Y107" s="1"/>
  <c r="Z82" i="1"/>
  <c r="W100" i="6"/>
  <c r="W101" s="1"/>
  <c r="X106"/>
  <c r="X107" s="1"/>
  <c r="W94"/>
  <c r="W95" s="1"/>
  <c r="AB78" i="1"/>
  <c r="AA67" i="6" s="1"/>
  <c r="AA68" s="1"/>
  <c r="AB79" i="1" s="1"/>
  <c r="AC78"/>
  <c r="AB67" i="6" s="1"/>
  <c r="AB68" s="1"/>
  <c r="AC79" i="1" s="1"/>
  <c r="AA82" l="1"/>
  <c r="AA81"/>
  <c r="X110" i="6"/>
  <c r="Y103"/>
  <c r="Y104" s="1"/>
  <c r="Y94"/>
  <c r="Y95" s="1"/>
  <c r="W110"/>
  <c r="Y97"/>
  <c r="Y98" s="1"/>
  <c r="Y100"/>
  <c r="Y101" s="1"/>
  <c r="AB81" i="1"/>
  <c r="Z92" i="6"/>
  <c r="Z103" s="1"/>
  <c r="Z104" s="1"/>
  <c r="AC81" i="1"/>
  <c r="X111" i="6" l="1"/>
  <c r="Y80" i="1" s="1"/>
  <c r="Y91" s="1"/>
  <c r="W111" i="6"/>
  <c r="X80" i="1" s="1"/>
  <c r="Z106" i="6"/>
  <c r="Z107" s="1"/>
  <c r="Z97"/>
  <c r="Z98" s="1"/>
  <c r="Y110"/>
  <c r="Z94"/>
  <c r="Z95" s="1"/>
  <c r="Z100"/>
  <c r="Z101" s="1"/>
  <c r="AA92"/>
  <c r="AA106" s="1"/>
  <c r="AA107" s="1"/>
  <c r="AB82" i="1"/>
  <c r="AC82"/>
  <c r="AB92" i="6"/>
  <c r="AB103" s="1"/>
  <c r="AB104" s="1"/>
  <c r="Y111" l="1"/>
  <c r="Z80" i="1" s="1"/>
  <c r="Z91" s="1"/>
  <c r="Z110" i="6"/>
  <c r="AA103"/>
  <c r="AA104" s="1"/>
  <c r="AA97"/>
  <c r="AA98" s="1"/>
  <c r="AA94"/>
  <c r="AA95" s="1"/>
  <c r="AA100"/>
  <c r="AA101" s="1"/>
  <c r="AB106"/>
  <c r="AB107" s="1"/>
  <c r="AB94"/>
  <c r="AB95" s="1"/>
  <c r="AB100"/>
  <c r="AB101" s="1"/>
  <c r="AB97"/>
  <c r="AB98" s="1"/>
  <c r="Z111" l="1"/>
  <c r="AA80" i="1" s="1"/>
  <c r="AA91" s="1"/>
  <c r="AB110" i="6"/>
  <c r="AA110"/>
  <c r="AB111" l="1"/>
  <c r="AC80" i="1" s="1"/>
  <c r="AC91" s="1"/>
  <c r="AA111" i="6"/>
  <c r="AB80" i="1" s="1"/>
  <c r="AB91" s="1"/>
  <c r="L68"/>
  <c r="K242" i="6" l="1"/>
  <c r="L70" i="1"/>
  <c r="K237" i="6"/>
  <c r="L74" i="1"/>
  <c r="K241" i="6" l="1"/>
  <c r="K67"/>
  <c r="K68" l="1"/>
  <c r="L79" i="1" s="1"/>
  <c r="L76"/>
  <c r="K92" i="6" l="1"/>
  <c r="K103" s="1"/>
  <c r="K104" s="1"/>
  <c r="L82" i="1"/>
  <c r="L81"/>
  <c r="K94" i="6" l="1"/>
  <c r="K95" s="1"/>
  <c r="K97"/>
  <c r="K98" s="1"/>
  <c r="K106"/>
  <c r="K107" s="1"/>
  <c r="K100"/>
  <c r="K101" s="1"/>
  <c r="K110" l="1"/>
  <c r="K111" s="1"/>
  <c r="L80" i="1" s="1"/>
  <c r="W91" l="1"/>
  <c r="S91"/>
  <c r="O91"/>
  <c r="X91"/>
  <c r="T91"/>
  <c r="P91"/>
  <c r="U91"/>
  <c r="Q91"/>
  <c r="V91"/>
  <c r="R91"/>
  <c r="E91"/>
  <c r="E94" s="1"/>
  <c r="N91"/>
  <c r="J91"/>
  <c r="F91"/>
  <c r="K91"/>
  <c r="G91"/>
  <c r="L91"/>
  <c r="H91"/>
  <c r="M91"/>
  <c r="I91"/>
  <c r="C114" i="6" l="1"/>
  <c r="F94" i="1" l="1"/>
  <c r="G94" s="1"/>
  <c r="E114" i="6" s="1"/>
  <c r="H94" i="1" l="1"/>
  <c r="F114" i="6" s="1"/>
  <c r="D114"/>
  <c r="I94" i="1" l="1"/>
  <c r="G114" i="6" s="1"/>
  <c r="J94" i="1" l="1"/>
  <c r="K94" s="1"/>
  <c r="H114" i="6" l="1"/>
  <c r="I114"/>
  <c r="L94" i="1"/>
  <c r="J114" i="6" l="1"/>
  <c r="M94" i="1"/>
  <c r="N94" l="1"/>
  <c r="K114" i="6"/>
  <c r="O94" i="1" l="1"/>
  <c r="L114" i="6"/>
  <c r="M114" l="1"/>
  <c r="P94" i="1"/>
  <c r="Q94" l="1"/>
  <c r="N114" i="6"/>
  <c r="R94" i="1" l="1"/>
  <c r="O114" i="6"/>
  <c r="S94" i="1" l="1"/>
  <c r="P114" i="6"/>
  <c r="Q114" l="1"/>
  <c r="T94" i="1"/>
  <c r="U94" l="1"/>
  <c r="R114" i="6"/>
  <c r="V94" i="1" l="1"/>
  <c r="S114" i="6"/>
  <c r="W94" i="1" l="1"/>
  <c r="T114" i="6"/>
  <c r="U114" l="1"/>
  <c r="X94" i="1"/>
  <c r="V114" i="6" l="1"/>
  <c r="Y94" i="1"/>
  <c r="Z94" s="1"/>
  <c r="AA94" s="1"/>
  <c r="AB94" s="1"/>
  <c r="AC94" s="1"/>
  <c r="I48" s="1"/>
  <c r="I47"/>
</calcChain>
</file>

<file path=xl/sharedStrings.xml><?xml version="1.0" encoding="utf-8"?>
<sst xmlns="http://schemas.openxmlformats.org/spreadsheetml/2006/main" count="457" uniqueCount="233">
  <si>
    <t>Impianto su edificio</t>
  </si>
  <si>
    <t>Altri impianti</t>
  </si>
  <si>
    <t>Omni</t>
  </si>
  <si>
    <t>Auto</t>
  </si>
  <si>
    <t>Edificio</t>
  </si>
  <si>
    <t>Altro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</si>
  <si>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</si>
  <si>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</si>
  <si>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</si>
  <si>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</si>
  <si>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</si>
  <si>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</si>
  <si>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</si>
  <si>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</si>
  <si>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</si>
  <si>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</si>
  <si>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</si>
  <si>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</si>
  <si>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</si>
  <si>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</si>
  <si>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</si>
  <si>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</si>
  <si>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</si>
  <si>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</si>
  <si>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</si>
  <si>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</si>
  <si>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</si>
  <si>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</si>
  <si>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</si>
  <si>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</si>
  <si>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</si>
  <si>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</si>
  <si>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</si>
  <si>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</si>
  <si>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</si>
  <si>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</si>
  <si>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</si>
  <si>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</si>
  <si>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Risparmio in bolletta</t>
  </si>
  <si>
    <t>Anno 1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</si>
  <si>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</si>
  <si>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</si>
  <si>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</si>
  <si>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</si>
  <si>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</si>
  <si>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</si>
  <si>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</si>
  <si>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</si>
  <si>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</si>
  <si>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</si>
  <si>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</si>
  <si>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</si>
  <si>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</si>
  <si>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</si>
  <si>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</si>
  <si>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</si>
  <si>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</si>
  <si>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</si>
  <si>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</si>
  <si>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</si>
  <si>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</si>
  <si>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</si>
  <si>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</si>
  <si>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</si>
  <si>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</si>
  <si>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</si>
  <si>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</si>
  <si>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</si>
  <si>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</si>
  <si>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</si>
  <si>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</si>
  <si>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</si>
  <si>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</si>
  <si>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</si>
  <si>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</si>
  <si>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</si>
  <si>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</si>
  <si>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</si>
  <si>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</si>
  <si>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</si>
  <si>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</si>
  <si>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Decadimento prestazioni pannelli</t>
  </si>
  <si>
    <t>Aumento annuo consumi energia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</si>
  <si>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</si>
  <si>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</si>
  <si>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</si>
  <si>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</si>
  <si>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</si>
  <si>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</si>
  <si>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</si>
  <si>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Impianto soggetto a imposte</t>
  </si>
  <si>
    <t>Aliquota IRAP</t>
  </si>
  <si>
    <t>NO</t>
  </si>
  <si>
    <t>Anno</t>
  </si>
  <si>
    <t>Per sbloccare il foglio di lavoro andare nel menu "revisione" e cliccare su "rimuivi protezione foglio). Per ripristinare la protezione cliccare si "proteggi foglio".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</si>
  <si>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</si>
  <si>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</si>
  <si>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</si>
  <si>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</si>
  <si>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</si>
  <si>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Produttività (decadimento pannelli 1% annuo)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</si>
  <si>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</si>
  <si>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</si>
  <si>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</si>
  <si>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</si>
  <si>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</si>
  <si>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</si>
  <si>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</si>
  <si>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</si>
  <si>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</si>
  <si>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</si>
  <si>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</si>
  <si>
    <t>Costo Totale Impianto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</si>
  <si>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</si>
  <si>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</si>
  <si>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</si>
  <si>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</si>
  <si>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</si>
  <si>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</si>
  <si>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Installazione</t>
  </si>
  <si>
    <t>Tipo di Impianto</t>
  </si>
  <si>
    <t>Impianti Titolo II</t>
  </si>
  <si>
    <t>Impianti Integrati Titolo III</t>
  </si>
  <si>
    <t>Pergole, serre, tettoie, pensiline</t>
  </si>
  <si>
    <t>IMPIANTI TITOLO III</t>
  </si>
  <si>
    <t>PERGOLE SERRE TETTOIE PENSILINE</t>
  </si>
  <si>
    <t>1-20</t>
  </si>
  <si>
    <t>&gt;200</t>
  </si>
  <si>
    <t>Amministrazioni Pubbliche</t>
  </si>
  <si>
    <t>Irap</t>
  </si>
  <si>
    <t>Irpef</t>
  </si>
  <si>
    <t>Ires</t>
  </si>
  <si>
    <t>Nessuna</t>
  </si>
  <si>
    <t>Oneri connessione Enel</t>
  </si>
  <si>
    <t>Potenza già disponibile</t>
  </si>
  <si>
    <t>Potenza impianto fotovoltaico</t>
  </si>
  <si>
    <t>Allacciamento</t>
  </si>
  <si>
    <t>A) Oneri Enel allacciamento (stima)</t>
  </si>
  <si>
    <t>B) Altri costi una tantum</t>
  </si>
  <si>
    <t>Altri costi (A+B)</t>
  </si>
  <si>
    <t>Ricavo tariffa omnicomprensiva (GSE)</t>
  </si>
  <si>
    <t>Ricavo tariffa autoconsumo (GSE)</t>
  </si>
  <si>
    <t>Tasse</t>
  </si>
  <si>
    <t>Spese</t>
  </si>
  <si>
    <t>Ricavi (GSE)</t>
  </si>
  <si>
    <t>Risparmio (bolletta)</t>
  </si>
  <si>
    <t>Totale Entrate (ricavi + risparmio)</t>
  </si>
  <si>
    <t>Flusso di Cassa (entrate-uscite)</t>
  </si>
  <si>
    <t>Anno 21</t>
  </si>
  <si>
    <t>Anno 22</t>
  </si>
  <si>
    <t>Anno 23</t>
  </si>
  <si>
    <t>Anno 24</t>
  </si>
  <si>
    <t>Anno 25</t>
  </si>
  <si>
    <t>Flusso di cassa finale 20 anni</t>
  </si>
  <si>
    <t>Flusso di cassa finale 25 anni</t>
  </si>
  <si>
    <t>Ricavi Vendita Energia (€/kWh)</t>
  </si>
  <si>
    <t>Impianto NON in conto energia</t>
  </si>
  <si>
    <t>Scambio 1-20 anni</t>
  </si>
  <si>
    <t>Vendita 1-20 anni</t>
  </si>
  <si>
    <t>IMPOSTE</t>
  </si>
  <si>
    <t>Vendita Energia</t>
  </si>
  <si>
    <t>Smaltiento Amianto, opere edili, autorizzazioni, etc</t>
  </si>
  <si>
    <t>Contributo conto scambio</t>
  </si>
  <si>
    <t>Liquidazione eccedenze scambio sul posto</t>
  </si>
  <si>
    <t>Azienda Agricola IRES+IRAP (se senza ammortamento)</t>
  </si>
  <si>
    <t>Anni da considerara per altri oneri</t>
  </si>
  <si>
    <t>C) Altri oneri annui</t>
  </si>
  <si>
    <t>anni</t>
  </si>
  <si>
    <t>Costo energia</t>
  </si>
  <si>
    <t>autoconsumo</t>
  </si>
  <si>
    <t>Vendita</t>
  </si>
  <si>
    <t>Consumo annuo energia</t>
  </si>
  <si>
    <t>Link Utili</t>
  </si>
  <si>
    <t>La produttività degli impianti fotovoltaici</t>
  </si>
  <si>
    <t>Il calore fa male ai pannelli fotovoltaici</t>
  </si>
  <si>
    <t>Orientamento ottimale dei moduli, gli inseguitori</t>
  </si>
  <si>
    <t xml:space="preserve">Migliorare le prestazioni di un impianto </t>
  </si>
  <si>
    <t>Confrontare le tariffe energetiche</t>
  </si>
  <si>
    <t>Calcolare il rendimento di un pannello fotovoltaico</t>
  </si>
  <si>
    <t>EURO</t>
  </si>
  <si>
    <t>KWh</t>
  </si>
  <si>
    <t>Luquidazione eccedenze</t>
  </si>
  <si>
    <t>produzione</t>
  </si>
  <si>
    <t>CALCOLI SCAMBIO SUL POSTO</t>
  </si>
  <si>
    <t>consumo annuo</t>
  </si>
  <si>
    <t>Contributo in conto scambio (kWh)</t>
  </si>
  <si>
    <t>Per calcolo vendita (dal 21° anno se impianto in conto energia)</t>
  </si>
  <si>
    <t>consumi residui</t>
  </si>
  <si>
    <t>eccedenze</t>
  </si>
  <si>
    <t>quota scambio</t>
  </si>
  <si>
    <t>Consigliato 3-6% annuo</t>
  </si>
  <si>
    <t>COSTO ENERGIA</t>
  </si>
  <si>
    <t>Costo finanziamento</t>
  </si>
  <si>
    <t xml:space="preserve">Finanziamento </t>
  </si>
  <si>
    <t>Importo da finanziare</t>
  </si>
  <si>
    <t>Durata finanziamento</t>
  </si>
  <si>
    <t>Tasso di interesse</t>
  </si>
  <si>
    <t>Totale Uscite (spese + tasse + finanziamenti)</t>
  </si>
  <si>
    <t>Interessi totali</t>
  </si>
  <si>
    <t>Importo del prestito semplice</t>
  </si>
  <si>
    <t>Immettere i valori</t>
  </si>
  <si>
    <t>Importo del prestito</t>
  </si>
  <si>
    <t>Tasso di interesse annuo</t>
  </si>
  <si>
    <t>Periodo del prestito in anni</t>
  </si>
  <si>
    <t>Data iniziale del prestito</t>
  </si>
  <si>
    <t>Pagamento mensile</t>
  </si>
  <si>
    <t>Numero di pagamenti</t>
  </si>
  <si>
    <t>Interesse totale</t>
  </si>
  <si>
    <t>Costo totale del prestito</t>
  </si>
  <si>
    <t>N.</t>
  </si>
  <si>
    <t>Data pagamento</t>
  </si>
  <si>
    <t>Saldo iniziale</t>
  </si>
  <si>
    <t>Pagamento</t>
  </si>
  <si>
    <t>Capitale</t>
  </si>
  <si>
    <t>Interesse</t>
  </si>
  <si>
    <t>Saldo finale</t>
  </si>
  <si>
    <t>SI</t>
  </si>
  <si>
    <t>Rata</t>
  </si>
  <si>
    <t>Manutenzione straordinaria</t>
  </si>
  <si>
    <t>Manutenzione ordinaria</t>
  </si>
  <si>
    <t>Manutenzione ordinaria annuale</t>
  </si>
  <si>
    <t>Periodo</t>
  </si>
  <si>
    <t>Ogni  5 anni</t>
  </si>
  <si>
    <t>Ogni 10 anni</t>
  </si>
  <si>
    <t>Ogni  3 anni</t>
  </si>
  <si>
    <t>NON ANCORA IMPLEMENTATO</t>
  </si>
  <si>
    <t>Contributo Scambio Sul Posto</t>
  </si>
  <si>
    <t>Importo annuale rate (12 rate)</t>
  </si>
  <si>
    <t>Consumo inesubero (per calcolo SSP se previsto)</t>
  </si>
  <si>
    <t>Eccedenze  (per calcolo SSP se previsto)</t>
  </si>
  <si>
    <t>Clicca per dettagli finanziamento</t>
  </si>
  <si>
    <t>Totali</t>
  </si>
  <si>
    <t>PV-Xcel 7.2 -  Calcolo impianto fotovoltaico Quinto Conto Energia</t>
  </si>
</sst>
</file>

<file path=xl/styles.xml><?xml version="1.0" encoding="utf-8"?>
<styleSheet xmlns="http://schemas.openxmlformats.org/spreadsheetml/2006/main">
  <numFmts count="9">
    <numFmt numFmtId="164" formatCode="0.0"/>
    <numFmt numFmtId="165" formatCode="0.000"/>
    <numFmt numFmtId="166" formatCode="&quot;€&quot;\ #,##0"/>
    <numFmt numFmtId="167" formatCode="&quot;€&quot;\ #,##0.00"/>
    <numFmt numFmtId="168" formatCode="d/m/yy;@"/>
    <numFmt numFmtId="169" formatCode="0.0000"/>
    <numFmt numFmtId="170" formatCode="_-[$€-410]\ * #,##0.00_-;\-[$€-410]\ * #,##0.00_-;_-[$€-410]\ * &quot;-&quot;??_-;_-@_-"/>
    <numFmt numFmtId="171" formatCode="0.000%"/>
    <numFmt numFmtId="172" formatCode="d/m/yyyy;@"/>
  </numFmts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0"/>
      <name val="Calibri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  <font>
      <sz val="10"/>
      <name val="Tahoma"/>
      <family val="2"/>
    </font>
    <font>
      <b/>
      <u/>
      <sz val="11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42">
    <xf numFmtId="0" fontId="0" fillId="0" borderId="0" xfId="0"/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0" fillId="0" borderId="14" xfId="0" applyBorder="1" applyAlignment="1" applyProtection="1">
      <alignment horizontal="center"/>
    </xf>
    <xf numFmtId="0" fontId="3" fillId="0" borderId="19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15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2" xfId="0" applyFont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16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1" applyFont="1" applyBorder="1" applyAlignment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0" fillId="0" borderId="17" xfId="0" applyBorder="1" applyProtection="1"/>
    <xf numFmtId="0" fontId="0" fillId="0" borderId="14" xfId="0" applyBorder="1" applyProtection="1"/>
    <xf numFmtId="0" fontId="4" fillId="0" borderId="26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26" xfId="0" applyFont="1" applyBorder="1" applyProtection="1"/>
    <xf numFmtId="0" fontId="1" fillId="0" borderId="15" xfId="0" applyFont="1" applyBorder="1" applyProtection="1"/>
    <xf numFmtId="0" fontId="4" fillId="0" borderId="26" xfId="0" applyFont="1" applyBorder="1" applyProtection="1"/>
    <xf numFmtId="0" fontId="4" fillId="0" borderId="27" xfId="0" applyFont="1" applyBorder="1" applyProtection="1"/>
    <xf numFmtId="0" fontId="1" fillId="0" borderId="18" xfId="0" applyFont="1" applyBorder="1" applyProtection="1"/>
    <xf numFmtId="0" fontId="4" fillId="0" borderId="18" xfId="0" applyFont="1" applyBorder="1" applyAlignment="1" applyProtection="1">
      <alignment horizontal="left"/>
    </xf>
    <xf numFmtId="0" fontId="1" fillId="0" borderId="16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0" borderId="18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0" fontId="3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/>
    <xf numFmtId="0" fontId="1" fillId="0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Protection="1"/>
    <xf numFmtId="0" fontId="3" fillId="2" borderId="12" xfId="0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9" fontId="4" fillId="0" borderId="0" xfId="0" applyNumberFormat="1" applyFont="1" applyFill="1" applyBorder="1" applyAlignment="1" applyProtection="1">
      <alignment vertical="center"/>
    </xf>
    <xf numFmtId="164" fontId="7" fillId="0" borderId="18" xfId="0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5" borderId="12" xfId="0" applyFill="1" applyBorder="1" applyProtection="1"/>
    <xf numFmtId="0" fontId="0" fillId="4" borderId="12" xfId="0" applyFill="1" applyBorder="1" applyProtection="1"/>
    <xf numFmtId="0" fontId="3" fillId="0" borderId="0" xfId="0" applyFont="1" applyFill="1" applyBorder="1" applyProtection="1"/>
    <xf numFmtId="0" fontId="0" fillId="6" borderId="12" xfId="0" applyFill="1" applyBorder="1" applyProtection="1"/>
    <xf numFmtId="0" fontId="0" fillId="7" borderId="12" xfId="0" applyFill="1" applyBorder="1" applyProtection="1"/>
    <xf numFmtId="0" fontId="4" fillId="5" borderId="0" xfId="0" applyFont="1" applyFill="1" applyProtection="1"/>
    <xf numFmtId="0" fontId="9" fillId="5" borderId="0" xfId="0" applyFont="1" applyFill="1" applyProtection="1"/>
    <xf numFmtId="0" fontId="4" fillId="6" borderId="0" xfId="0" applyFont="1" applyFill="1" applyProtection="1"/>
    <xf numFmtId="0" fontId="9" fillId="6" borderId="0" xfId="0" applyFont="1" applyFill="1" applyProtection="1"/>
    <xf numFmtId="0" fontId="4" fillId="4" borderId="0" xfId="0" applyFont="1" applyFill="1" applyProtection="1"/>
    <xf numFmtId="0" fontId="9" fillId="4" borderId="0" xfId="0" applyFont="1" applyFill="1" applyProtection="1"/>
    <xf numFmtId="0" fontId="4" fillId="7" borderId="0" xfId="0" applyFont="1" applyFill="1" applyProtection="1"/>
    <xf numFmtId="0" fontId="9" fillId="7" borderId="0" xfId="0" applyFont="1" applyFill="1" applyProtection="1"/>
    <xf numFmtId="167" fontId="4" fillId="3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4" fillId="3" borderId="1" xfId="0" applyFont="1" applyFill="1" applyBorder="1" applyProtection="1"/>
    <xf numFmtId="0" fontId="1" fillId="3" borderId="2" xfId="0" applyFont="1" applyFill="1" applyBorder="1" applyProtection="1"/>
    <xf numFmtId="167" fontId="4" fillId="3" borderId="2" xfId="0" applyNumberFormat="1" applyFont="1" applyFill="1" applyBorder="1" applyAlignment="1" applyProtection="1"/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1" fillId="3" borderId="7" xfId="0" applyFont="1" applyFill="1" applyBorder="1" applyProtection="1"/>
    <xf numFmtId="0" fontId="1" fillId="3" borderId="6" xfId="0" applyFont="1" applyFill="1" applyBorder="1" applyProtection="1"/>
    <xf numFmtId="0" fontId="4" fillId="3" borderId="2" xfId="0" applyFont="1" applyFill="1" applyBorder="1" applyProtection="1"/>
    <xf numFmtId="0" fontId="4" fillId="3" borderId="6" xfId="0" applyFont="1" applyFill="1" applyBorder="1" applyProtection="1"/>
    <xf numFmtId="0" fontId="0" fillId="0" borderId="0" xfId="0" applyFill="1" applyAlignment="1" applyProtection="1"/>
    <xf numFmtId="164" fontId="4" fillId="2" borderId="13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/>
    <xf numFmtId="0" fontId="3" fillId="3" borderId="13" xfId="0" applyFont="1" applyFill="1" applyBorder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165" fontId="0" fillId="0" borderId="0" xfId="0" applyNumberFormat="1" applyAlignment="1" applyProtection="1">
      <alignment horizontal="center"/>
    </xf>
    <xf numFmtId="0" fontId="12" fillId="0" borderId="0" xfId="0" applyFont="1" applyProtection="1"/>
    <xf numFmtId="0" fontId="5" fillId="0" borderId="1" xfId="0" applyFont="1" applyBorder="1" applyProtection="1"/>
    <xf numFmtId="0" fontId="12" fillId="0" borderId="4" xfId="0" applyFont="1" applyBorder="1" applyProtection="1"/>
    <xf numFmtId="0" fontId="12" fillId="0" borderId="0" xfId="0" applyFont="1" applyBorder="1" applyProtection="1"/>
    <xf numFmtId="0" fontId="12" fillId="0" borderId="5" xfId="0" applyFont="1" applyBorder="1" applyProtection="1"/>
    <xf numFmtId="0" fontId="0" fillId="0" borderId="0" xfId="0" applyAlignment="1" applyProtection="1">
      <alignment horizontal="center"/>
    </xf>
    <xf numFmtId="169" fontId="0" fillId="0" borderId="0" xfId="0" applyNumberFormat="1" applyProtection="1"/>
    <xf numFmtId="0" fontId="3" fillId="3" borderId="3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horizontal="right"/>
    </xf>
    <xf numFmtId="2" fontId="3" fillId="2" borderId="12" xfId="0" applyNumberFormat="1" applyFont="1" applyFill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/>
    <xf numFmtId="0" fontId="4" fillId="3" borderId="9" xfId="0" applyFont="1" applyFill="1" applyBorder="1" applyAlignment="1" applyProtection="1"/>
    <xf numFmtId="4" fontId="14" fillId="0" borderId="0" xfId="0" applyNumberFormat="1" applyFont="1"/>
    <xf numFmtId="4" fontId="15" fillId="0" borderId="32" xfId="0" applyNumberFormat="1" applyFont="1" applyBorder="1" applyAlignment="1">
      <alignment horizontal="left"/>
    </xf>
    <xf numFmtId="4" fontId="17" fillId="0" borderId="0" xfId="0" applyNumberFormat="1" applyFont="1"/>
    <xf numFmtId="4" fontId="18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right"/>
    </xf>
    <xf numFmtId="170" fontId="17" fillId="0" borderId="33" xfId="0" applyNumberFormat="1" applyFont="1" applyBorder="1" applyAlignment="1">
      <alignment horizontal="right"/>
    </xf>
    <xf numFmtId="4" fontId="17" fillId="0" borderId="0" xfId="0" applyNumberFormat="1" applyFont="1" applyAlignment="1"/>
    <xf numFmtId="171" fontId="17" fillId="0" borderId="34" xfId="0" applyNumberFormat="1" applyFont="1" applyBorder="1" applyAlignment="1">
      <alignment horizontal="right"/>
    </xf>
    <xf numFmtId="1" fontId="17" fillId="0" borderId="34" xfId="0" applyNumberFormat="1" applyFont="1" applyBorder="1" applyAlignment="1">
      <alignment horizontal="right"/>
    </xf>
    <xf numFmtId="14" fontId="17" fillId="0" borderId="34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170" fontId="17" fillId="9" borderId="33" xfId="0" applyNumberFormat="1" applyFont="1" applyFill="1" applyBorder="1" applyAlignment="1">
      <alignment horizontal="right"/>
    </xf>
    <xf numFmtId="1" fontId="17" fillId="9" borderId="34" xfId="0" applyNumberFormat="1" applyFont="1" applyFill="1" applyBorder="1" applyAlignment="1">
      <alignment horizontal="right"/>
    </xf>
    <xf numFmtId="170" fontId="17" fillId="9" borderId="34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 wrapText="1"/>
    </xf>
    <xf numFmtId="4" fontId="17" fillId="0" borderId="32" xfId="0" applyNumberFormat="1" applyFont="1" applyBorder="1" applyAlignment="1">
      <alignment horizontal="left" wrapText="1"/>
    </xf>
    <xf numFmtId="4" fontId="17" fillId="0" borderId="32" xfId="0" applyNumberFormat="1" applyFont="1" applyBorder="1" applyAlignment="1">
      <alignment horizontal="right" wrapText="1" indent="1"/>
    </xf>
    <xf numFmtId="4" fontId="17" fillId="0" borderId="32" xfId="0" applyNumberFormat="1" applyFont="1" applyBorder="1" applyAlignment="1">
      <alignment horizontal="right" wrapText="1" indent="2"/>
    </xf>
    <xf numFmtId="1" fontId="17" fillId="0" borderId="0" xfId="0" applyNumberFormat="1" applyFont="1" applyAlignment="1">
      <alignment horizontal="right"/>
    </xf>
    <xf numFmtId="172" fontId="17" fillId="0" borderId="0" xfId="0" applyNumberFormat="1" applyFont="1" applyAlignment="1">
      <alignment horizontal="right"/>
    </xf>
    <xf numFmtId="170" fontId="17" fillId="0" borderId="0" xfId="0" applyNumberFormat="1" applyFont="1" applyAlignment="1">
      <alignment horizontal="right"/>
    </xf>
    <xf numFmtId="1" fontId="17" fillId="0" borderId="35" xfId="0" applyNumberFormat="1" applyFont="1" applyBorder="1" applyAlignment="1">
      <alignment horizontal="right"/>
    </xf>
    <xf numFmtId="170" fontId="17" fillId="0" borderId="36" xfId="0" applyNumberFormat="1" applyFont="1" applyBorder="1" applyAlignment="1">
      <alignment horizontal="right"/>
    </xf>
    <xf numFmtId="4" fontId="17" fillId="0" borderId="35" xfId="0" applyNumberFormat="1" applyFont="1" applyBorder="1" applyAlignment="1">
      <alignment horizontal="right"/>
    </xf>
    <xf numFmtId="4" fontId="17" fillId="0" borderId="37" xfId="0" applyNumberFormat="1" applyFont="1" applyBorder="1" applyAlignment="1">
      <alignment horizontal="right"/>
    </xf>
    <xf numFmtId="172" fontId="17" fillId="0" borderId="38" xfId="0" applyNumberFormat="1" applyFont="1" applyBorder="1" applyAlignment="1">
      <alignment horizontal="right"/>
    </xf>
    <xf numFmtId="170" fontId="17" fillId="0" borderId="38" xfId="0" applyNumberFormat="1" applyFont="1" applyBorder="1" applyAlignment="1">
      <alignment horizontal="right"/>
    </xf>
    <xf numFmtId="170" fontId="17" fillId="0" borderId="39" xfId="0" applyNumberFormat="1" applyFont="1" applyBorder="1" applyAlignment="1">
      <alignment horizontal="right"/>
    </xf>
    <xf numFmtId="172" fontId="17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4" fontId="20" fillId="0" borderId="0" xfId="0" applyNumberFormat="1" applyFont="1"/>
    <xf numFmtId="4" fontId="20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 horizontal="center"/>
    </xf>
    <xf numFmtId="170" fontId="20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172" fontId="21" fillId="0" borderId="0" xfId="0" applyNumberFormat="1" applyFont="1" applyAlignment="1">
      <alignment horizontal="center"/>
    </xf>
    <xf numFmtId="170" fontId="21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left"/>
    </xf>
    <xf numFmtId="170" fontId="0" fillId="0" borderId="0" xfId="0" applyNumberFormat="1"/>
    <xf numFmtId="0" fontId="4" fillId="0" borderId="0" xfId="0" applyFont="1" applyBorder="1" applyAlignment="1" applyProtection="1">
      <alignment horizontal="left"/>
    </xf>
    <xf numFmtId="166" fontId="0" fillId="0" borderId="0" xfId="0" applyNumberForma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66" fontId="3" fillId="10" borderId="9" xfId="0" applyNumberFormat="1" applyFont="1" applyFill="1" applyBorder="1" applyAlignment="1" applyProtection="1">
      <alignment horizontal="center"/>
    </xf>
    <xf numFmtId="166" fontId="3" fillId="10" borderId="10" xfId="0" applyNumberFormat="1" applyFont="1" applyFill="1" applyBorder="1" applyAlignment="1" applyProtection="1">
      <alignment horizontal="center"/>
    </xf>
    <xf numFmtId="166" fontId="3" fillId="10" borderId="11" xfId="0" applyNumberFormat="1" applyFont="1" applyFill="1" applyBorder="1" applyAlignment="1" applyProtection="1">
      <alignment horizontal="center"/>
    </xf>
    <xf numFmtId="0" fontId="4" fillId="10" borderId="0" xfId="0" applyFont="1" applyFill="1" applyProtection="1"/>
    <xf numFmtId="0" fontId="9" fillId="10" borderId="0" xfId="0" applyFont="1" applyFill="1" applyProtection="1"/>
    <xf numFmtId="0" fontId="0" fillId="10" borderId="12" xfId="0" applyFill="1" applyBorder="1" applyProtection="1"/>
    <xf numFmtId="0" fontId="4" fillId="0" borderId="1" xfId="0" applyFont="1" applyBorder="1" applyProtection="1"/>
    <xf numFmtId="0" fontId="1" fillId="0" borderId="3" xfId="0" applyFont="1" applyBorder="1" applyProtection="1"/>
    <xf numFmtId="0" fontId="4" fillId="0" borderId="4" xfId="0" applyFont="1" applyBorder="1" applyProtection="1"/>
    <xf numFmtId="0" fontId="1" fillId="0" borderId="5" xfId="0" applyFont="1" applyBorder="1" applyProtection="1"/>
    <xf numFmtId="0" fontId="4" fillId="0" borderId="6" xfId="0" applyFont="1" applyBorder="1" applyProtection="1"/>
    <xf numFmtId="0" fontId="1" fillId="0" borderId="8" xfId="0" applyFont="1" applyBorder="1" applyProtection="1"/>
    <xf numFmtId="0" fontId="4" fillId="0" borderId="40" xfId="0" applyFont="1" applyBorder="1" applyProtection="1"/>
    <xf numFmtId="0" fontId="1" fillId="0" borderId="41" xfId="0" applyFont="1" applyBorder="1" applyProtection="1"/>
    <xf numFmtId="0" fontId="4" fillId="0" borderId="42" xfId="0" applyFont="1" applyBorder="1" applyProtection="1"/>
    <xf numFmtId="0" fontId="1" fillId="0" borderId="28" xfId="0" applyFont="1" applyBorder="1" applyProtection="1"/>
    <xf numFmtId="0" fontId="3" fillId="2" borderId="43" xfId="0" applyFont="1" applyFill="1" applyBorder="1" applyAlignment="1" applyProtection="1">
      <alignment horizontal="right"/>
      <protection locked="0"/>
    </xf>
    <xf numFmtId="0" fontId="3" fillId="2" borderId="44" xfId="0" applyFont="1" applyFill="1" applyBorder="1" applyAlignment="1" applyProtection="1">
      <alignment horizontal="right"/>
      <protection locked="0"/>
    </xf>
    <xf numFmtId="164" fontId="10" fillId="2" borderId="44" xfId="0" applyNumberFormat="1" applyFont="1" applyFill="1" applyBorder="1" applyAlignment="1" applyProtection="1">
      <alignment horizontal="right"/>
      <protection locked="0"/>
    </xf>
    <xf numFmtId="0" fontId="3" fillId="3" borderId="44" xfId="0" applyFont="1" applyFill="1" applyBorder="1" applyAlignment="1" applyProtection="1">
      <alignment horizontal="right"/>
    </xf>
    <xf numFmtId="1" fontId="3" fillId="3" borderId="44" xfId="0" applyNumberFormat="1" applyFont="1" applyFill="1" applyBorder="1" applyAlignment="1" applyProtection="1">
      <alignment horizontal="right"/>
    </xf>
    <xf numFmtId="165" fontId="10" fillId="2" borderId="44" xfId="0" applyNumberFormat="1" applyFont="1" applyFill="1" applyBorder="1" applyAlignment="1" applyProtection="1">
      <alignment horizontal="right"/>
      <protection locked="0"/>
    </xf>
    <xf numFmtId="164" fontId="10" fillId="2" borderId="45" xfId="0" applyNumberFormat="1" applyFont="1" applyFill="1" applyBorder="1" applyAlignment="1" applyProtection="1">
      <alignment horizontal="right"/>
      <protection locked="0"/>
    </xf>
    <xf numFmtId="166" fontId="4" fillId="5" borderId="1" xfId="0" applyNumberFormat="1" applyFont="1" applyFill="1" applyBorder="1" applyAlignment="1" applyProtection="1">
      <alignment vertical="center"/>
    </xf>
    <xf numFmtId="166" fontId="4" fillId="5" borderId="2" xfId="0" applyNumberFormat="1" applyFont="1" applyFill="1" applyBorder="1" applyAlignment="1" applyProtection="1">
      <alignment vertical="center"/>
    </xf>
    <xf numFmtId="166" fontId="4" fillId="5" borderId="3" xfId="0" applyNumberFormat="1" applyFont="1" applyFill="1" applyBorder="1" applyAlignment="1" applyProtection="1">
      <alignment vertical="center"/>
    </xf>
    <xf numFmtId="166" fontId="4" fillId="5" borderId="6" xfId="0" applyNumberFormat="1" applyFont="1" applyFill="1" applyBorder="1" applyAlignment="1" applyProtection="1">
      <alignment vertical="center"/>
    </xf>
    <xf numFmtId="166" fontId="4" fillId="5" borderId="7" xfId="0" applyNumberFormat="1" applyFont="1" applyFill="1" applyBorder="1" applyAlignment="1" applyProtection="1">
      <alignment vertical="center"/>
    </xf>
    <xf numFmtId="166" fontId="4" fillId="5" borderId="8" xfId="0" applyNumberFormat="1" applyFont="1" applyFill="1" applyBorder="1" applyAlignment="1" applyProtection="1">
      <alignment vertical="center"/>
    </xf>
    <xf numFmtId="166" fontId="4" fillId="8" borderId="1" xfId="0" applyNumberFormat="1" applyFont="1" applyFill="1" applyBorder="1" applyAlignment="1" applyProtection="1">
      <alignment vertical="center"/>
    </xf>
    <xf numFmtId="166" fontId="4" fillId="8" borderId="2" xfId="0" applyNumberFormat="1" applyFont="1" applyFill="1" applyBorder="1" applyAlignment="1" applyProtection="1">
      <alignment vertical="center"/>
    </xf>
    <xf numFmtId="166" fontId="4" fillId="8" borderId="3" xfId="0" applyNumberFormat="1" applyFont="1" applyFill="1" applyBorder="1" applyAlignment="1" applyProtection="1">
      <alignment vertical="center"/>
    </xf>
    <xf numFmtId="166" fontId="4" fillId="8" borderId="6" xfId="0" applyNumberFormat="1" applyFont="1" applyFill="1" applyBorder="1" applyAlignment="1" applyProtection="1">
      <alignment vertical="center"/>
    </xf>
    <xf numFmtId="166" fontId="4" fillId="8" borderId="7" xfId="0" applyNumberFormat="1" applyFont="1" applyFill="1" applyBorder="1" applyAlignment="1" applyProtection="1">
      <alignment vertical="center"/>
    </xf>
    <xf numFmtId="166" fontId="4" fillId="8" borderId="8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166" fontId="4" fillId="3" borderId="10" xfId="0" applyNumberFormat="1" applyFont="1" applyFill="1" applyBorder="1" applyAlignment="1" applyProtection="1">
      <alignment horizontal="right"/>
    </xf>
    <xf numFmtId="166" fontId="4" fillId="3" borderId="11" xfId="0" applyNumberFormat="1" applyFont="1" applyFill="1" applyBorder="1" applyAlignment="1" applyProtection="1">
      <alignment horizontal="right"/>
    </xf>
    <xf numFmtId="0" fontId="5" fillId="3" borderId="9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166" fontId="4" fillId="3" borderId="7" xfId="0" applyNumberFormat="1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25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27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166" fontId="4" fillId="3" borderId="18" xfId="0" applyNumberFormat="1" applyFont="1" applyFill="1" applyBorder="1" applyAlignment="1" applyProtection="1">
      <alignment horizontal="right"/>
    </xf>
    <xf numFmtId="166" fontId="4" fillId="3" borderId="28" xfId="0" applyNumberFormat="1" applyFont="1" applyFill="1" applyBorder="1" applyAlignment="1" applyProtection="1">
      <alignment horizontal="right"/>
    </xf>
    <xf numFmtId="166" fontId="4" fillId="3" borderId="29" xfId="0" applyNumberFormat="1" applyFont="1" applyFill="1" applyBorder="1" applyAlignment="1" applyProtection="1">
      <alignment horizontal="right"/>
    </xf>
    <xf numFmtId="166" fontId="4" fillId="3" borderId="30" xfId="0" applyNumberFormat="1" applyFont="1" applyFill="1" applyBorder="1" applyAlignment="1" applyProtection="1">
      <alignment horizontal="right"/>
    </xf>
    <xf numFmtId="166" fontId="4" fillId="3" borderId="2" xfId="0" applyNumberFormat="1" applyFont="1" applyFill="1" applyBorder="1" applyAlignment="1" applyProtection="1">
      <alignment horizontal="right"/>
    </xf>
    <xf numFmtId="166" fontId="4" fillId="3" borderId="3" xfId="0" applyNumberFormat="1" applyFont="1" applyFill="1" applyBorder="1" applyAlignment="1" applyProtection="1">
      <alignment horizontal="right"/>
    </xf>
    <xf numFmtId="0" fontId="22" fillId="3" borderId="9" xfId="1" applyFont="1" applyFill="1" applyBorder="1" applyAlignment="1" applyProtection="1">
      <alignment horizontal="left"/>
    </xf>
    <xf numFmtId="0" fontId="22" fillId="3" borderId="10" xfId="1" applyFont="1" applyFill="1" applyBorder="1" applyAlignment="1" applyProtection="1">
      <alignment horizontal="left"/>
    </xf>
    <xf numFmtId="0" fontId="22" fillId="3" borderId="11" xfId="1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</xf>
    <xf numFmtId="0" fontId="11" fillId="0" borderId="0" xfId="1" applyFont="1" applyBorder="1" applyAlignment="1" applyProtection="1">
      <alignment horizontal="left"/>
    </xf>
    <xf numFmtId="0" fontId="13" fillId="0" borderId="4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left"/>
    </xf>
    <xf numFmtId="0" fontId="13" fillId="0" borderId="5" xfId="1" applyFont="1" applyBorder="1" applyAlignment="1" applyProtection="1">
      <alignment horizontal="left"/>
    </xf>
    <xf numFmtId="0" fontId="12" fillId="0" borderId="4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4" fontId="16" fillId="0" borderId="32" xfId="0" applyNumberFormat="1" applyFont="1" applyBorder="1" applyAlignment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1" fontId="0" fillId="8" borderId="4" xfId="0" applyNumberFormat="1" applyFont="1" applyFill="1" applyBorder="1" applyAlignment="1" applyProtection="1">
      <alignment horizontal="center"/>
    </xf>
    <xf numFmtId="1" fontId="0" fillId="8" borderId="0" xfId="0" applyNumberFormat="1" applyFont="1" applyFill="1" applyBorder="1" applyAlignment="1" applyProtection="1">
      <alignment horizontal="center"/>
    </xf>
    <xf numFmtId="1" fontId="0" fillId="8" borderId="5" xfId="0" applyNumberFormat="1" applyFont="1" applyFill="1" applyBorder="1" applyAlignment="1" applyProtection="1">
      <alignment horizontal="center"/>
    </xf>
    <xf numFmtId="166" fontId="0" fillId="5" borderId="4" xfId="0" applyNumberFormat="1" applyFont="1" applyFill="1" applyBorder="1" applyAlignment="1" applyProtection="1">
      <alignment horizontal="center"/>
    </xf>
    <xf numFmtId="166" fontId="0" fillId="5" borderId="0" xfId="0" applyNumberFormat="1" applyFont="1" applyFill="1" applyBorder="1" applyAlignment="1" applyProtection="1">
      <alignment horizontal="center"/>
    </xf>
    <xf numFmtId="166" fontId="0" fillId="5" borderId="5" xfId="0" applyNumberFormat="1" applyFont="1" applyFill="1" applyBorder="1" applyAlignment="1" applyProtection="1">
      <alignment horizontal="center"/>
    </xf>
    <xf numFmtId="166" fontId="0" fillId="6" borderId="4" xfId="0" applyNumberFormat="1" applyFont="1" applyFill="1" applyBorder="1" applyAlignment="1" applyProtection="1">
      <alignment horizontal="center"/>
    </xf>
    <xf numFmtId="166" fontId="0" fillId="6" borderId="0" xfId="0" applyNumberFormat="1" applyFont="1" applyFill="1" applyBorder="1" applyAlignment="1" applyProtection="1">
      <alignment horizontal="center"/>
    </xf>
    <xf numFmtId="166" fontId="0" fillId="6" borderId="5" xfId="0" applyNumberFormat="1" applyFont="1" applyFill="1" applyBorder="1" applyAlignment="1" applyProtection="1">
      <alignment horizontal="center"/>
    </xf>
    <xf numFmtId="166" fontId="3" fillId="0" borderId="4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6" fontId="0" fillId="0" borderId="4" xfId="0" applyNumberFormat="1" applyFont="1" applyBorder="1" applyAlignment="1" applyProtection="1">
      <alignment horizontal="center"/>
    </xf>
    <xf numFmtId="166" fontId="0" fillId="0" borderId="0" xfId="0" applyNumberFormat="1" applyFont="1" applyBorder="1" applyAlignment="1" applyProtection="1">
      <alignment horizontal="center"/>
    </xf>
    <xf numFmtId="166" fontId="0" fillId="0" borderId="5" xfId="0" applyNumberFormat="1" applyFont="1" applyBorder="1" applyAlignment="1" applyProtection="1">
      <alignment horizontal="center"/>
    </xf>
    <xf numFmtId="166" fontId="0" fillId="0" borderId="4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0" borderId="5" xfId="0" applyNumberFormat="1" applyBorder="1" applyAlignment="1" applyProtection="1">
      <alignment horizontal="center"/>
    </xf>
    <xf numFmtId="166" fontId="0" fillId="8" borderId="4" xfId="0" applyNumberFormat="1" applyFont="1" applyFill="1" applyBorder="1" applyAlignment="1" applyProtection="1">
      <alignment horizontal="center"/>
    </xf>
    <xf numFmtId="166" fontId="0" fillId="8" borderId="0" xfId="0" applyNumberFormat="1" applyFont="1" applyFill="1" applyBorder="1" applyAlignment="1" applyProtection="1">
      <alignment horizontal="center"/>
    </xf>
    <xf numFmtId="166" fontId="0" fillId="8" borderId="5" xfId="0" applyNumberFormat="1" applyFont="1" applyFill="1" applyBorder="1" applyAlignment="1" applyProtection="1">
      <alignment horizontal="center"/>
    </xf>
    <xf numFmtId="166" fontId="0" fillId="7" borderId="4" xfId="0" applyNumberFormat="1" applyFont="1" applyFill="1" applyBorder="1" applyAlignment="1" applyProtection="1">
      <alignment horizontal="center"/>
    </xf>
    <xf numFmtId="166" fontId="0" fillId="7" borderId="0" xfId="0" applyNumberFormat="1" applyFont="1" applyFill="1" applyBorder="1" applyAlignment="1" applyProtection="1">
      <alignment horizontal="center"/>
    </xf>
    <xf numFmtId="166" fontId="0" fillId="7" borderId="5" xfId="0" applyNumberFormat="1" applyFont="1" applyFill="1" applyBorder="1" applyAlignment="1" applyProtection="1">
      <alignment horizontal="center"/>
    </xf>
    <xf numFmtId="3" fontId="0" fillId="0" borderId="4" xfId="0" applyNumberFormat="1" applyFont="1" applyBorder="1" applyAlignment="1" applyProtection="1">
      <alignment horizontal="center"/>
    </xf>
    <xf numFmtId="3" fontId="0" fillId="0" borderId="0" xfId="0" applyNumberFormat="1" applyFont="1" applyBorder="1" applyAlignment="1" applyProtection="1">
      <alignment horizontal="center"/>
    </xf>
    <xf numFmtId="3" fontId="0" fillId="0" borderId="5" xfId="0" applyNumberFormat="1" applyFont="1" applyBorder="1" applyAlignment="1" applyProtection="1">
      <alignment horizontal="center"/>
    </xf>
    <xf numFmtId="166" fontId="3" fillId="10" borderId="12" xfId="0" applyNumberFormat="1" applyFont="1" applyFill="1" applyBorder="1" applyAlignment="1" applyProtection="1">
      <alignment horizontal="center"/>
    </xf>
  </cellXfs>
  <cellStyles count="2">
    <cellStyle name="Collegamento ipertestuale" xfId="1" builtinId="8"/>
    <cellStyle name="Normale" xfId="0" builtinId="0"/>
  </cellStyles>
  <dxfs count="44">
    <dxf>
      <border>
        <left/>
        <right style="thin">
          <color indexed="9"/>
        </right>
        <top/>
        <bottom style="thin">
          <color indexed="9"/>
        </bottom>
      </border>
    </dxf>
    <dxf>
      <border>
        <left/>
        <right/>
        <top/>
        <bottom/>
      </border>
    </dxf>
    <dxf>
      <border>
        <left style="thin">
          <color indexed="9"/>
        </left>
        <right/>
        <top/>
        <bottom style="thin">
          <color indexed="9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9"/>
        </bottom>
      </border>
    </dxf>
    <dxf>
      <border>
        <left/>
        <right/>
        <top/>
        <bottom/>
      </border>
    </dxf>
    <dxf>
      <fill>
        <patternFill>
          <bgColor rgb="FFB2B2B2"/>
        </patternFill>
      </fill>
    </dxf>
    <dxf>
      <fill>
        <patternFill>
          <bgColor rgb="FFFFC000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B2B2B2"/>
      <color rgb="FFFF7C80"/>
      <color rgb="FF99FF66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'Simulazione 7.2'!$E$94:$AC$94</c:f>
              <c:numCache>
                <c:formatCode>"€"\ #,##0</c:formatCode>
                <c:ptCount val="25"/>
                <c:pt idx="0">
                  <c:v>-242.57532800822935</c:v>
                </c:pt>
                <c:pt idx="1">
                  <c:v>-322.7475560164587</c:v>
                </c:pt>
                <c:pt idx="2">
                  <c:v>-398.79590917468829</c:v>
                </c:pt>
                <c:pt idx="3">
                  <c:v>-469.96212410839291</c:v>
                </c:pt>
                <c:pt idx="4">
                  <c:v>-535.44829443269498</c:v>
                </c:pt>
                <c:pt idx="5">
                  <c:v>-594.41459601010502</c:v>
                </c:pt>
                <c:pt idx="6">
                  <c:v>-645.97688523883335</c:v>
                </c:pt>
                <c:pt idx="7">
                  <c:v>-689.20416328455258</c:v>
                </c:pt>
                <c:pt idx="8">
                  <c:v>-723.1158987735281</c:v>
                </c:pt>
                <c:pt idx="9">
                  <c:v>-746.67920104806274</c:v>
                </c:pt>
                <c:pt idx="10">
                  <c:v>-167.85550763677452</c:v>
                </c:pt>
                <c:pt idx="11">
                  <c:v>723.55158282312107</c:v>
                </c:pt>
                <c:pt idx="12">
                  <c:v>1621.5971193195555</c:v>
                </c:pt>
                <c:pt idx="13">
                  <c:v>2525.2453428920967</c:v>
                </c:pt>
                <c:pt idx="14">
                  <c:v>3434.8208463306792</c:v>
                </c:pt>
                <c:pt idx="15">
                  <c:v>4350.6549334010942</c:v>
                </c:pt>
                <c:pt idx="16">
                  <c:v>5273.0858058521171</c:v>
                </c:pt>
                <c:pt idx="17">
                  <c:v>6202.4587550941851</c:v>
                </c:pt>
                <c:pt idx="18">
                  <c:v>7139.1263586708128</c:v>
                </c:pt>
                <c:pt idx="19">
                  <c:v>8083.4486816470089</c:v>
                </c:pt>
                <c:pt idx="20">
                  <c:v>8197.3578524225049</c:v>
                </c:pt>
                <c:pt idx="21">
                  <c:v>8624.5110868743704</c:v>
                </c:pt>
                <c:pt idx="22">
                  <c:v>9065.2485587781321</c:v>
                </c:pt>
                <c:pt idx="23">
                  <c:v>9519.9191792727415</c:v>
                </c:pt>
                <c:pt idx="24">
                  <c:v>9988.8808212797539</c:v>
                </c:pt>
              </c:numCache>
            </c:numRef>
          </c:val>
        </c:ser>
        <c:axId val="69421696"/>
        <c:axId val="74601216"/>
      </c:barChart>
      <c:catAx>
        <c:axId val="69421696"/>
        <c:scaling>
          <c:orientation val="minMax"/>
        </c:scaling>
        <c:axPos val="b"/>
        <c:tickLblPos val="low"/>
        <c:crossAx val="74601216"/>
        <c:crosses val="autoZero"/>
        <c:auto val="1"/>
        <c:lblAlgn val="ctr"/>
        <c:lblOffset val="100"/>
      </c:catAx>
      <c:valAx>
        <c:axId val="74601216"/>
        <c:scaling>
          <c:orientation val="minMax"/>
        </c:scaling>
        <c:axPos val="l"/>
        <c:majorGridlines/>
        <c:numFmt formatCode="&quot;€&quot;\ #,##0" sourceLinked="1"/>
        <c:tickLblPos val="nextTo"/>
        <c:crossAx val="69421696"/>
        <c:crosses val="autoZero"/>
        <c:crossBetween val="between"/>
      </c:valAx>
    </c:plotArea>
    <c:plotVisOnly val="1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563306</xdr:colOff>
      <xdr:row>27</xdr:row>
      <xdr:rowOff>143386</xdr:rowOff>
    </xdr:from>
    <xdr:to>
      <xdr:col>21</xdr:col>
      <xdr:colOff>368710</xdr:colOff>
      <xdr:row>56</xdr:row>
      <xdr:rowOff>204837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ziamen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o del prestito"/>
    </sheetNames>
    <sheetDataSet>
      <sheetData sheetId="0" refreshError="1">
        <row r="4">
          <cell r="E4">
            <v>7500</v>
          </cell>
        </row>
        <row r="15">
          <cell r="B15" t="str">
            <v>N.</v>
          </cell>
          <cell r="C15" t="str">
            <v>Data pagamento</v>
          </cell>
          <cell r="D15" t="str">
            <v>Saldo iniziale</v>
          </cell>
          <cell r="E15" t="str">
            <v>Pagamento</v>
          </cell>
          <cell r="F15" t="str">
            <v>Capitale</v>
          </cell>
          <cell r="G15" t="str">
            <v>Interesse</v>
          </cell>
          <cell r="H15" t="str">
            <v>Saldo finale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newsenergia.com/rendimento-fotovoltaico-manutenzione-progettazione-0418.html" TargetMode="External"/><Relationship Id="rId7" Type="http://schemas.openxmlformats.org/officeDocument/2006/relationships/hyperlink" Target="http://newsenergia.com/fotovoltaico-per-tutti-il-caldo-fa-male-ai-moduli-fotovoltaici-0127.html" TargetMode="External"/><Relationship Id="rId2" Type="http://schemas.openxmlformats.org/officeDocument/2006/relationships/hyperlink" Target="http://newsenergia.com/migliore-angolazione-pannelli-fotovoltaici-0522.html" TargetMode="External"/><Relationship Id="rId1" Type="http://schemas.openxmlformats.org/officeDocument/2006/relationships/hyperlink" Target="http://newsenergia.com/fotovoltaico-per-tutti-la-produttivita-degli-impianti-0117.html" TargetMode="External"/><Relationship Id="rId6" Type="http://schemas.openxmlformats.org/officeDocument/2006/relationships/hyperlink" Target="http://newsenergia.com/fotovoltaico-per-tutti-la-produttivita-degli-impianti-0117.html" TargetMode="External"/><Relationship Id="rId5" Type="http://schemas.openxmlformats.org/officeDocument/2006/relationships/hyperlink" Target="http://newsenergia.com/fotovoltaico-per-tutti-la-produttivita-degli-impianti-0117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newsenergia.com/aeeg-tariffe-energia-elettrica-sostariffe-0223.html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101"/>
  <sheetViews>
    <sheetView tabSelected="1" topLeftCell="B25" zoomScale="80" zoomScaleNormal="80" workbookViewId="0">
      <selection activeCell="V100" sqref="V100"/>
    </sheetView>
  </sheetViews>
  <sheetFormatPr defaultRowHeight="15"/>
  <cols>
    <col min="1" max="1" width="14.7109375" style="6" customWidth="1"/>
    <col min="2" max="2" width="20.7109375" style="6" customWidth="1"/>
    <col min="3" max="3" width="9.140625" style="6" customWidth="1"/>
    <col min="4" max="4" width="7.7109375" style="6" customWidth="1"/>
    <col min="5" max="29" width="10" style="6" customWidth="1"/>
    <col min="30" max="16384" width="9.140625" style="6"/>
  </cols>
  <sheetData>
    <row r="1" spans="1:22" s="1" customFormat="1" ht="19.5" thickBot="1">
      <c r="A1" s="263" t="s">
        <v>232</v>
      </c>
      <c r="B1" s="264"/>
      <c r="C1" s="264"/>
      <c r="D1" s="264"/>
      <c r="E1" s="264"/>
      <c r="F1" s="264"/>
      <c r="G1" s="265"/>
    </row>
    <row r="2" spans="1:22" ht="13.5" customHeight="1" thickBot="1"/>
    <row r="3" spans="1:22" ht="16.5" thickBot="1">
      <c r="A3" s="8" t="s">
        <v>135</v>
      </c>
      <c r="B3" s="9"/>
      <c r="C3" s="115">
        <v>3</v>
      </c>
      <c r="D3" s="10" t="s">
        <v>12</v>
      </c>
      <c r="H3" s="151"/>
      <c r="I3" s="152" t="s">
        <v>63</v>
      </c>
      <c r="J3" s="152"/>
      <c r="K3" s="153"/>
      <c r="L3" s="152" t="s">
        <v>64</v>
      </c>
      <c r="M3" s="128"/>
      <c r="N3" s="150"/>
      <c r="O3" s="21"/>
      <c r="P3" s="21"/>
      <c r="Q3" s="21"/>
    </row>
    <row r="4" spans="1:22" ht="16.5" thickBot="1">
      <c r="A4" s="8" t="s">
        <v>134</v>
      </c>
      <c r="B4" s="9"/>
      <c r="C4" s="61">
        <v>3</v>
      </c>
      <c r="D4" s="10" t="s">
        <v>12</v>
      </c>
      <c r="H4" s="12"/>
      <c r="I4" s="21"/>
      <c r="J4" s="21"/>
      <c r="K4" s="21"/>
      <c r="L4" s="27"/>
      <c r="M4" s="12"/>
      <c r="N4" s="21"/>
      <c r="O4" s="21"/>
      <c r="P4" s="21"/>
      <c r="Q4" s="21"/>
    </row>
    <row r="5" spans="1:22" ht="9.75" customHeight="1" thickBot="1">
      <c r="A5" s="11"/>
      <c r="B5" s="11"/>
      <c r="C5" s="12"/>
      <c r="D5" s="11"/>
      <c r="J5" s="91"/>
      <c r="K5" s="91"/>
      <c r="L5" s="91"/>
    </row>
    <row r="6" spans="1:22" ht="15.75" customHeight="1">
      <c r="A6" s="13"/>
      <c r="B6" s="14"/>
      <c r="C6" s="14"/>
      <c r="D6" s="14"/>
      <c r="E6" s="15"/>
      <c r="F6" s="16"/>
      <c r="H6" s="92"/>
      <c r="I6" s="93"/>
      <c r="J6" s="94"/>
      <c r="K6" s="94"/>
      <c r="L6" s="95"/>
      <c r="M6" s="15"/>
      <c r="N6" s="15"/>
      <c r="O6" s="16"/>
      <c r="Q6" s="162" t="s">
        <v>172</v>
      </c>
      <c r="R6" s="15"/>
      <c r="S6" s="15"/>
      <c r="T6" s="15"/>
      <c r="U6" s="15"/>
      <c r="V6" s="16"/>
    </row>
    <row r="7" spans="1:22" ht="18.75">
      <c r="A7" s="269" t="s">
        <v>14</v>
      </c>
      <c r="B7" s="270"/>
      <c r="C7" s="270"/>
      <c r="D7" s="11"/>
      <c r="E7" s="2"/>
      <c r="F7" s="7"/>
      <c r="H7" s="22" t="s">
        <v>90</v>
      </c>
      <c r="I7" s="2"/>
      <c r="J7" s="2"/>
      <c r="K7" s="2"/>
      <c r="L7" s="2"/>
      <c r="M7" s="2"/>
      <c r="N7" s="2"/>
      <c r="O7" s="7"/>
      <c r="Q7" s="163"/>
      <c r="R7" s="164"/>
      <c r="S7" s="164"/>
      <c r="T7" s="164"/>
      <c r="U7" s="164"/>
      <c r="V7" s="165"/>
    </row>
    <row r="8" spans="1:22" ht="18.75">
      <c r="A8" s="118"/>
      <c r="B8" s="11"/>
      <c r="C8" s="11"/>
      <c r="D8" s="11"/>
      <c r="E8" s="2"/>
      <c r="F8" s="7"/>
      <c r="H8" s="22"/>
      <c r="I8" s="2"/>
      <c r="J8" s="2"/>
      <c r="K8" s="2"/>
      <c r="L8" s="2"/>
      <c r="M8" s="2"/>
      <c r="N8" s="2"/>
      <c r="O8" s="7"/>
      <c r="Q8" s="288" t="s">
        <v>173</v>
      </c>
      <c r="R8" s="289"/>
      <c r="S8" s="289"/>
      <c r="T8" s="289"/>
      <c r="U8" s="289"/>
      <c r="V8" s="165"/>
    </row>
    <row r="9" spans="1:22" ht="18.75">
      <c r="A9" s="269" t="s">
        <v>13</v>
      </c>
      <c r="B9" s="270"/>
      <c r="C9" s="270"/>
      <c r="D9" s="11"/>
      <c r="E9" s="2"/>
      <c r="F9" s="7"/>
      <c r="H9" s="22" t="s">
        <v>84</v>
      </c>
      <c r="I9" s="2"/>
      <c r="J9" s="2"/>
      <c r="K9" s="121">
        <v>9</v>
      </c>
      <c r="L9" s="2" t="s">
        <v>60</v>
      </c>
      <c r="M9" s="2"/>
      <c r="N9" s="12"/>
      <c r="O9" s="7"/>
      <c r="Q9" s="288" t="s">
        <v>174</v>
      </c>
      <c r="R9" s="289"/>
      <c r="S9" s="289"/>
      <c r="T9" s="289"/>
      <c r="U9" s="289"/>
      <c r="V9" s="165"/>
    </row>
    <row r="10" spans="1:22" ht="18.75">
      <c r="A10" s="118"/>
      <c r="B10" s="11"/>
      <c r="C10" s="11"/>
      <c r="D10" s="11"/>
      <c r="E10" s="2"/>
      <c r="F10" s="7"/>
      <c r="H10" s="22"/>
      <c r="I10" s="2"/>
      <c r="J10" s="2"/>
      <c r="K10" s="98"/>
      <c r="L10" s="2"/>
      <c r="M10" s="2"/>
      <c r="N10" s="2"/>
      <c r="O10" s="7"/>
      <c r="Q10" s="288" t="s">
        <v>175</v>
      </c>
      <c r="R10" s="289"/>
      <c r="S10" s="289"/>
      <c r="T10" s="289"/>
      <c r="U10" s="289"/>
      <c r="V10" s="290"/>
    </row>
    <row r="11" spans="1:22" ht="18.75">
      <c r="A11" s="118" t="s">
        <v>120</v>
      </c>
      <c r="B11" s="11"/>
      <c r="C11" s="11"/>
      <c r="D11" s="11"/>
      <c r="E11" s="2"/>
      <c r="F11" s="7"/>
      <c r="H11" s="22"/>
      <c r="I11" s="2"/>
      <c r="J11" s="2"/>
      <c r="K11" s="98"/>
      <c r="L11" s="2"/>
      <c r="M11" s="2"/>
      <c r="N11" s="2"/>
      <c r="O11" s="7"/>
      <c r="Q11" s="288" t="s">
        <v>176</v>
      </c>
      <c r="R11" s="289"/>
      <c r="S11" s="289"/>
      <c r="T11" s="289"/>
      <c r="U11" s="289"/>
      <c r="V11" s="290"/>
    </row>
    <row r="12" spans="1:22" ht="18.75">
      <c r="A12" s="118"/>
      <c r="B12" s="11"/>
      <c r="C12" s="11"/>
      <c r="D12" s="11"/>
      <c r="E12" s="2"/>
      <c r="F12" s="7"/>
      <c r="H12" s="22"/>
      <c r="I12" s="2"/>
      <c r="J12" s="2"/>
      <c r="K12" s="98"/>
      <c r="L12" s="2"/>
      <c r="M12" s="2"/>
      <c r="N12" s="2"/>
      <c r="O12" s="7"/>
      <c r="Q12" s="288" t="s">
        <v>177</v>
      </c>
      <c r="R12" s="289"/>
      <c r="S12" s="289"/>
      <c r="T12" s="289"/>
      <c r="U12" s="289"/>
      <c r="V12" s="290"/>
    </row>
    <row r="13" spans="1:22" ht="18.75">
      <c r="A13" s="269" t="s">
        <v>119</v>
      </c>
      <c r="B13" s="270"/>
      <c r="C13" s="270"/>
      <c r="D13" s="11"/>
      <c r="E13" s="2"/>
      <c r="F13" s="7"/>
      <c r="H13" s="22" t="s">
        <v>95</v>
      </c>
      <c r="I13" s="2"/>
      <c r="J13" s="2"/>
      <c r="K13" s="122"/>
      <c r="L13" s="106">
        <v>23</v>
      </c>
      <c r="M13" s="2" t="s">
        <v>60</v>
      </c>
      <c r="N13" s="2"/>
      <c r="O13" s="7"/>
      <c r="Q13" s="288" t="s">
        <v>178</v>
      </c>
      <c r="R13" s="289"/>
      <c r="S13" s="289"/>
      <c r="T13" s="289"/>
      <c r="U13" s="289"/>
      <c r="V13" s="290"/>
    </row>
    <row r="14" spans="1:22" ht="18.75">
      <c r="A14" s="22"/>
      <c r="B14" s="2"/>
      <c r="C14" s="2"/>
      <c r="D14" s="2"/>
      <c r="E14" s="2"/>
      <c r="F14" s="7"/>
      <c r="H14" s="22" t="s">
        <v>96</v>
      </c>
      <c r="I14" s="2"/>
      <c r="J14" s="2"/>
      <c r="K14" s="122"/>
      <c r="L14" s="106">
        <v>27</v>
      </c>
      <c r="M14" s="2" t="s">
        <v>60</v>
      </c>
      <c r="N14" s="2"/>
      <c r="O14" s="7"/>
      <c r="Q14" s="291"/>
      <c r="R14" s="292"/>
      <c r="S14" s="292"/>
      <c r="T14" s="292"/>
      <c r="U14" s="292"/>
      <c r="V14" s="293"/>
    </row>
    <row r="15" spans="1:22" ht="19.5" thickBot="1">
      <c r="A15" s="269" t="s">
        <v>75</v>
      </c>
      <c r="B15" s="270"/>
      <c r="C15" s="270"/>
      <c r="D15" s="11"/>
      <c r="E15" s="2"/>
      <c r="F15" s="7"/>
      <c r="H15" s="22" t="s">
        <v>97</v>
      </c>
      <c r="I15" s="2"/>
      <c r="J15" s="2"/>
      <c r="K15" s="122"/>
      <c r="L15" s="106">
        <v>38</v>
      </c>
      <c r="M15" s="2" t="s">
        <v>60</v>
      </c>
      <c r="N15" s="2"/>
      <c r="O15" s="7"/>
      <c r="Q15" s="294"/>
      <c r="R15" s="295"/>
      <c r="S15" s="295"/>
      <c r="T15" s="295"/>
      <c r="U15" s="295"/>
      <c r="V15" s="296"/>
    </row>
    <row r="16" spans="1:22" ht="18.75">
      <c r="A16" s="22"/>
      <c r="B16" s="2"/>
      <c r="C16" s="2"/>
      <c r="D16" s="2"/>
      <c r="E16" s="2"/>
      <c r="F16" s="7"/>
      <c r="H16" s="22" t="s">
        <v>98</v>
      </c>
      <c r="I16" s="2"/>
      <c r="J16" s="2"/>
      <c r="K16" s="122"/>
      <c r="L16" s="106">
        <v>41</v>
      </c>
      <c r="M16" s="2" t="s">
        <v>60</v>
      </c>
      <c r="N16" s="2"/>
      <c r="O16" s="7"/>
      <c r="Q16" s="297"/>
      <c r="R16" s="297"/>
      <c r="S16" s="297"/>
      <c r="T16" s="297"/>
      <c r="U16" s="297"/>
      <c r="V16" s="297"/>
    </row>
    <row r="17" spans="1:22" ht="18.75">
      <c r="A17" s="24"/>
      <c r="B17" s="25"/>
      <c r="C17" s="25"/>
      <c r="D17" s="2"/>
      <c r="E17" s="2"/>
      <c r="F17" s="7"/>
      <c r="H17" s="22" t="s">
        <v>99</v>
      </c>
      <c r="I17" s="2"/>
      <c r="J17" s="2"/>
      <c r="K17" s="122"/>
      <c r="L17" s="106">
        <v>43</v>
      </c>
      <c r="M17" s="2" t="s">
        <v>60</v>
      </c>
      <c r="N17" s="2"/>
      <c r="O17" s="7"/>
      <c r="Q17" s="297"/>
      <c r="R17" s="297"/>
      <c r="S17" s="297"/>
      <c r="T17" s="297"/>
      <c r="U17" s="297"/>
      <c r="V17" s="297"/>
    </row>
    <row r="18" spans="1:22" ht="18.75">
      <c r="A18" s="269" t="s">
        <v>18</v>
      </c>
      <c r="B18" s="270"/>
      <c r="C18" s="270"/>
      <c r="D18" s="2"/>
      <c r="E18" s="2"/>
      <c r="F18" s="7"/>
      <c r="H18" s="22"/>
      <c r="I18" s="2"/>
      <c r="J18" s="2"/>
      <c r="K18" s="2"/>
      <c r="L18" s="2"/>
      <c r="M18" s="2"/>
      <c r="N18" s="2"/>
      <c r="O18" s="7"/>
      <c r="Q18" s="161"/>
    </row>
    <row r="19" spans="1:22" ht="18.75">
      <c r="A19" s="22"/>
      <c r="B19" s="2"/>
      <c r="C19" s="2"/>
      <c r="D19" s="2"/>
      <c r="E19" s="2"/>
      <c r="F19" s="7"/>
      <c r="H19" s="97" t="s">
        <v>91</v>
      </c>
      <c r="I19" s="2"/>
      <c r="J19" s="2"/>
      <c r="K19" s="106">
        <v>3.9</v>
      </c>
      <c r="L19" s="2" t="s">
        <v>60</v>
      </c>
      <c r="M19" s="2"/>
      <c r="N19" s="2"/>
      <c r="O19" s="7"/>
      <c r="Q19" s="161"/>
    </row>
    <row r="20" spans="1:22" ht="15.75" customHeight="1">
      <c r="A20" s="22"/>
      <c r="B20" s="2"/>
      <c r="C20" s="2"/>
      <c r="D20" s="2"/>
      <c r="E20" s="2"/>
      <c r="F20" s="7"/>
      <c r="H20" s="22"/>
      <c r="I20" s="2"/>
      <c r="J20" s="2"/>
      <c r="K20" s="2"/>
      <c r="L20" s="2"/>
      <c r="M20" s="2"/>
      <c r="N20" s="2"/>
      <c r="O20" s="7"/>
      <c r="Q20" s="161"/>
    </row>
    <row r="21" spans="1:22" ht="17.25" customHeight="1">
      <c r="A21" s="22"/>
      <c r="B21" s="2"/>
      <c r="C21" s="2"/>
      <c r="D21" s="2"/>
      <c r="E21" s="2"/>
      <c r="F21" s="7"/>
      <c r="H21" s="97" t="s">
        <v>113</v>
      </c>
      <c r="I21" s="2"/>
      <c r="J21" s="2"/>
      <c r="K21" s="106">
        <v>27.5</v>
      </c>
      <c r="L21" s="2" t="s">
        <v>60</v>
      </c>
      <c r="M21" s="2"/>
      <c r="N21" s="2"/>
      <c r="O21" s="7"/>
      <c r="Q21" s="161"/>
    </row>
    <row r="22" spans="1:22" ht="8.25" customHeight="1" thickBot="1">
      <c r="A22" s="29"/>
      <c r="B22" s="19"/>
      <c r="C22" s="19"/>
      <c r="D22" s="19"/>
      <c r="E22" s="19"/>
      <c r="F22" s="20"/>
      <c r="H22" s="29"/>
      <c r="I22" s="19"/>
      <c r="J22" s="19"/>
      <c r="K22" s="19"/>
      <c r="L22" s="19"/>
      <c r="M22" s="19"/>
      <c r="N22" s="19"/>
      <c r="O22" s="20"/>
    </row>
    <row r="23" spans="1:22" ht="13.5" customHeight="1" thickBot="1"/>
    <row r="24" spans="1:22" ht="15.75" thickBot="1">
      <c r="D24" s="110" t="s">
        <v>22</v>
      </c>
      <c r="E24" s="112" t="s">
        <v>21</v>
      </c>
      <c r="F24" s="30" t="s">
        <v>23</v>
      </c>
      <c r="H24" s="271" t="s">
        <v>94</v>
      </c>
      <c r="I24" s="272"/>
      <c r="J24" s="272"/>
      <c r="K24" s="272"/>
      <c r="L24" s="272"/>
      <c r="M24" s="272"/>
      <c r="N24" s="272"/>
      <c r="O24" s="273"/>
    </row>
    <row r="25" spans="1:22">
      <c r="A25" s="31" t="s">
        <v>19</v>
      </c>
      <c r="B25" s="32"/>
      <c r="C25" s="33"/>
      <c r="D25" s="111">
        <f>IF(Calcoli!D1&lt;6,E25+F25,0)</f>
        <v>228</v>
      </c>
      <c r="E25" s="113">
        <f>Calcoli!H19+Calcoli!H29+Calcoli!H39+Calcoli!H51+Calcoli!H65+Calcoli!N19+Calcoli!N29+Calcoli!N39+Calcoli!N51+Calcoli!N65+Calcoli!H130+Calcoli!H140+Calcoli!H150+Calcoli!H162+Calcoli!H176+Calcoli!H188+Calcoli!H195+Calcoli!H203+Calcoli!H211+Calcoli!H219</f>
        <v>208</v>
      </c>
      <c r="F25" s="34">
        <f>IF(Calcoli!$H$9&lt;3,Calcoli!$R$27,0)</f>
        <v>20</v>
      </c>
      <c r="H25" s="274"/>
      <c r="I25" s="275"/>
      <c r="J25" s="275"/>
      <c r="K25" s="275"/>
      <c r="L25" s="275"/>
      <c r="M25" s="275"/>
      <c r="N25" s="275"/>
      <c r="O25" s="276"/>
    </row>
    <row r="26" spans="1:22" ht="15.75" thickBot="1">
      <c r="A26" s="38" t="s">
        <v>20</v>
      </c>
      <c r="B26" s="39"/>
      <c r="C26" s="40"/>
      <c r="D26" s="168">
        <f>IF(Calcoli!D1&lt;6,E26+F26,0)</f>
        <v>146</v>
      </c>
      <c r="E26" s="114">
        <f>Calcoli!I19+Calcoli!I29+Calcoli!I39+Calcoli!I51+Calcoli!I65+Calcoli!O19+Calcoli!O29+Calcoli!O39+Calcoli!O51+Calcoli!O65+Calcoli!I130+Calcoli!I140+Calcoli!I150+Calcoli!I162+Calcoli!I176+Calcoli!I188+Calcoli!I195+Calcoli!I203+Calcoli!I211+Calcoli!I219</f>
        <v>126</v>
      </c>
      <c r="F26" s="41">
        <f>IF(Calcoli!$H$9&lt;3,Calcoli!$R$27,0)</f>
        <v>20</v>
      </c>
    </row>
    <row r="27" spans="1:22" ht="12.75" customHeight="1">
      <c r="A27" s="43"/>
      <c r="B27" s="2"/>
      <c r="C27" s="2"/>
      <c r="D27" s="44"/>
      <c r="E27" s="120"/>
      <c r="F27" s="120"/>
      <c r="S27" s="96"/>
    </row>
    <row r="28" spans="1:22" ht="12.75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9"/>
      <c r="S28" s="96"/>
    </row>
    <row r="29" spans="1:22" s="46" customFormat="1" ht="22.5" customHeight="1">
      <c r="A29" s="70" t="s">
        <v>35</v>
      </c>
      <c r="B29" s="123"/>
      <c r="C29" s="101">
        <v>1150</v>
      </c>
      <c r="D29" s="45" t="s">
        <v>62</v>
      </c>
      <c r="E29" s="65"/>
      <c r="F29" s="287" t="s">
        <v>25</v>
      </c>
      <c r="G29" s="287"/>
      <c r="H29" s="287"/>
      <c r="I29" s="287"/>
      <c r="J29" s="287"/>
      <c r="K29" s="71"/>
    </row>
    <row r="30" spans="1:22" s="50" customFormat="1" ht="15.75">
      <c r="A30" s="72" t="s">
        <v>26</v>
      </c>
      <c r="B30" s="11"/>
      <c r="C30" s="102">
        <f>$C$3*C29</f>
        <v>3450</v>
      </c>
      <c r="D30" s="81" t="s">
        <v>24</v>
      </c>
      <c r="E30" s="11"/>
      <c r="F30" s="11"/>
      <c r="G30" s="11"/>
      <c r="H30" s="11"/>
      <c r="I30" s="11"/>
      <c r="J30" s="11"/>
      <c r="K30" s="73"/>
    </row>
    <row r="31" spans="1:22" s="50" customFormat="1" ht="15.75">
      <c r="A31" s="72" t="s">
        <v>27</v>
      </c>
      <c r="B31" s="11"/>
      <c r="C31" s="101">
        <v>2500</v>
      </c>
      <c r="D31" s="81" t="s">
        <v>24</v>
      </c>
      <c r="E31" s="88" t="s">
        <v>77</v>
      </c>
      <c r="F31" s="88"/>
      <c r="G31" s="88"/>
      <c r="H31" s="88"/>
      <c r="I31" s="81"/>
      <c r="J31" s="11"/>
      <c r="K31" s="73"/>
    </row>
    <row r="32" spans="1:22" s="50" customFormat="1" ht="15.75">
      <c r="A32" s="72"/>
      <c r="B32" s="11"/>
      <c r="C32" s="125"/>
      <c r="D32" s="119"/>
      <c r="E32" s="119"/>
      <c r="F32" s="119"/>
      <c r="G32" s="119"/>
      <c r="H32" s="119"/>
      <c r="I32" s="119"/>
      <c r="J32" s="11"/>
      <c r="K32" s="73"/>
    </row>
    <row r="33" spans="1:11" s="46" customFormat="1" ht="22.5" customHeight="1">
      <c r="A33" s="70" t="s">
        <v>28</v>
      </c>
      <c r="B33" s="123"/>
      <c r="C33" s="103">
        <f>Calcoli!S55</f>
        <v>1250</v>
      </c>
      <c r="D33" s="45" t="s">
        <v>24</v>
      </c>
      <c r="E33" s="54" t="s">
        <v>34</v>
      </c>
      <c r="F33" s="54"/>
      <c r="G33" s="54"/>
      <c r="H33" s="54"/>
      <c r="I33" s="45"/>
      <c r="J33" s="54"/>
      <c r="K33" s="71"/>
    </row>
    <row r="34" spans="1:11" s="50" customFormat="1" ht="16.5" thickBot="1">
      <c r="A34" s="74" t="s">
        <v>29</v>
      </c>
      <c r="B34" s="55"/>
      <c r="C34" s="102">
        <f>IF(Calcoli!Q49=1,C30-C33,C30)</f>
        <v>2200</v>
      </c>
      <c r="D34" s="81" t="s">
        <v>24</v>
      </c>
      <c r="E34" s="55"/>
      <c r="F34" s="55"/>
      <c r="G34" s="55"/>
      <c r="H34" s="55"/>
      <c r="I34" s="55"/>
      <c r="J34" s="55"/>
      <c r="K34" s="73"/>
    </row>
    <row r="35" spans="1:11" s="50" customFormat="1" ht="15.75">
      <c r="A35" s="74" t="s">
        <v>30</v>
      </c>
      <c r="B35" s="11"/>
      <c r="C35" s="102">
        <f>IF(Calcoli!Q49=1,C31-C33,0)</f>
        <v>1250</v>
      </c>
      <c r="D35" s="81" t="s">
        <v>24</v>
      </c>
      <c r="E35" s="11"/>
      <c r="F35" s="141" t="s">
        <v>112</v>
      </c>
      <c r="G35" s="142"/>
      <c r="H35" s="143"/>
      <c r="I35" s="281">
        <f>C3*C37</f>
        <v>6900</v>
      </c>
      <c r="J35" s="282"/>
      <c r="K35" s="73"/>
    </row>
    <row r="36" spans="1:11" s="50" customFormat="1" ht="16.5" thickBot="1">
      <c r="A36" s="74"/>
      <c r="B36" s="11"/>
      <c r="C36" s="98"/>
      <c r="D36" s="81"/>
      <c r="E36" s="11"/>
      <c r="F36" s="144" t="s">
        <v>139</v>
      </c>
      <c r="G36" s="66"/>
      <c r="H36" s="139"/>
      <c r="I36" s="277">
        <f>C50+C51</f>
        <v>250</v>
      </c>
      <c r="J36" s="278"/>
      <c r="K36" s="73"/>
    </row>
    <row r="37" spans="1:11" s="50" customFormat="1" ht="16.5" thickBot="1">
      <c r="A37" s="74" t="s">
        <v>31</v>
      </c>
      <c r="B37" s="11"/>
      <c r="C37" s="117">
        <v>2300</v>
      </c>
      <c r="D37" s="81" t="s">
        <v>32</v>
      </c>
      <c r="E37" s="140"/>
      <c r="F37" s="147"/>
      <c r="G37" s="145" t="s">
        <v>22</v>
      </c>
      <c r="H37" s="146"/>
      <c r="I37" s="279">
        <f>SUM(I35:J36)</f>
        <v>7150</v>
      </c>
      <c r="J37" s="280"/>
      <c r="K37" s="73"/>
    </row>
    <row r="38" spans="1:11" s="50" customFormat="1" ht="7.5" customHeight="1">
      <c r="A38" s="74"/>
      <c r="B38" s="11"/>
      <c r="C38" s="169"/>
      <c r="D38" s="81"/>
      <c r="E38" s="140"/>
      <c r="F38" s="105"/>
      <c r="G38" s="140"/>
      <c r="H38" s="105"/>
      <c r="I38" s="171"/>
      <c r="J38" s="171"/>
      <c r="K38" s="73"/>
    </row>
    <row r="39" spans="1:11" s="50" customFormat="1" ht="15.75">
      <c r="A39" s="74" t="s">
        <v>193</v>
      </c>
      <c r="B39" s="11"/>
      <c r="C39" s="169"/>
      <c r="D39" s="170"/>
      <c r="E39" s="140"/>
      <c r="F39" s="105"/>
      <c r="G39" s="140"/>
      <c r="H39" s="105"/>
      <c r="I39" s="171"/>
      <c r="J39" s="171"/>
      <c r="K39" s="73"/>
    </row>
    <row r="40" spans="1:11" s="50" customFormat="1" ht="16.5" thickBot="1">
      <c r="A40" s="74"/>
      <c r="B40" s="11"/>
      <c r="C40" s="169"/>
      <c r="D40" s="170"/>
      <c r="E40" s="140"/>
      <c r="F40" s="105"/>
      <c r="G40" s="140"/>
      <c r="H40" s="105"/>
      <c r="I40" s="171"/>
      <c r="J40" s="171"/>
      <c r="K40" s="73"/>
    </row>
    <row r="41" spans="1:11" s="50" customFormat="1" ht="16.5" thickBot="1">
      <c r="A41" s="230" t="s">
        <v>194</v>
      </c>
      <c r="B41" s="231"/>
      <c r="C41" s="117">
        <v>7000</v>
      </c>
      <c r="D41" s="81" t="s">
        <v>32</v>
      </c>
      <c r="E41" s="140"/>
      <c r="F41" s="174" t="s">
        <v>227</v>
      </c>
      <c r="G41" s="173"/>
      <c r="H41" s="173"/>
      <c r="I41" s="261">
        <f>Finanziamento!J6</f>
        <v>890.95032800822935</v>
      </c>
      <c r="J41" s="262"/>
      <c r="K41" s="73"/>
    </row>
    <row r="42" spans="1:11" s="50" customFormat="1" ht="16.5" thickBot="1">
      <c r="A42" s="232" t="s">
        <v>195</v>
      </c>
      <c r="B42" s="233"/>
      <c r="C42" s="117">
        <v>10</v>
      </c>
      <c r="D42" s="81" t="s">
        <v>167</v>
      </c>
      <c r="E42" s="140"/>
      <c r="F42" s="174" t="s">
        <v>198</v>
      </c>
      <c r="G42" s="173"/>
      <c r="H42" s="173"/>
      <c r="I42" s="261">
        <f>Finanziamento!E11</f>
        <v>1909.5032800822955</v>
      </c>
      <c r="J42" s="262"/>
      <c r="K42" s="73"/>
    </row>
    <row r="43" spans="1:11" s="50" customFormat="1" ht="16.5" thickBot="1">
      <c r="A43" s="234" t="s">
        <v>196</v>
      </c>
      <c r="B43" s="235"/>
      <c r="C43" s="172">
        <v>5</v>
      </c>
      <c r="D43" s="81" t="s">
        <v>60</v>
      </c>
      <c r="E43" s="140"/>
      <c r="F43" s="283" t="s">
        <v>230</v>
      </c>
      <c r="G43" s="284"/>
      <c r="H43" s="284"/>
      <c r="I43" s="284"/>
      <c r="J43" s="285"/>
      <c r="K43" s="73"/>
    </row>
    <row r="44" spans="1:11" s="50" customFormat="1" ht="16.5" thickBot="1">
      <c r="A44" s="74"/>
      <c r="B44" s="11"/>
      <c r="C44" s="169"/>
      <c r="D44" s="170"/>
      <c r="E44" s="140"/>
      <c r="F44" s="105"/>
      <c r="G44" s="140"/>
      <c r="H44" s="105"/>
      <c r="I44" s="171"/>
      <c r="J44" s="171"/>
      <c r="K44" s="73"/>
    </row>
    <row r="45" spans="1:11" s="50" customFormat="1" ht="15.75">
      <c r="A45" s="230" t="s">
        <v>218</v>
      </c>
      <c r="B45" s="231"/>
      <c r="C45" s="240">
        <v>300</v>
      </c>
      <c r="D45" s="220" t="s">
        <v>32</v>
      </c>
      <c r="E45" s="140" t="s">
        <v>221</v>
      </c>
      <c r="F45" s="105"/>
      <c r="G45" s="140"/>
      <c r="H45" s="105"/>
      <c r="I45" s="171"/>
      <c r="J45" s="171"/>
      <c r="K45" s="73"/>
    </row>
    <row r="46" spans="1:11" s="50" customFormat="1" ht="16.5" thickBot="1">
      <c r="A46" s="232" t="s">
        <v>220</v>
      </c>
      <c r="B46" s="233"/>
      <c r="C46" s="241">
        <v>50</v>
      </c>
      <c r="D46" s="81" t="s">
        <v>32</v>
      </c>
      <c r="E46" s="140"/>
      <c r="F46" s="105"/>
      <c r="G46" s="104"/>
      <c r="H46" s="268"/>
      <c r="I46" s="268"/>
      <c r="J46" s="104"/>
      <c r="K46" s="73"/>
    </row>
    <row r="47" spans="1:11" s="50" customFormat="1" ht="15.75">
      <c r="A47" s="232" t="s">
        <v>82</v>
      </c>
      <c r="B47" s="233"/>
      <c r="C47" s="242">
        <v>2</v>
      </c>
      <c r="D47" s="81" t="s">
        <v>60</v>
      </c>
      <c r="E47" s="105"/>
      <c r="F47" s="141" t="s">
        <v>153</v>
      </c>
      <c r="G47" s="148"/>
      <c r="H47" s="148"/>
      <c r="I47" s="281">
        <f>X94</f>
        <v>8083.4486816470089</v>
      </c>
      <c r="J47" s="286"/>
      <c r="K47" s="73"/>
    </row>
    <row r="48" spans="1:11" s="50" customFormat="1" ht="16.5" thickBot="1">
      <c r="A48" s="232" t="s">
        <v>78</v>
      </c>
      <c r="B48" s="233"/>
      <c r="C48" s="243">
        <f>IF(C3&lt;20,C3*3,60+((C3-20)*2))</f>
        <v>9</v>
      </c>
      <c r="D48" s="81" t="s">
        <v>32</v>
      </c>
      <c r="E48" s="11"/>
      <c r="F48" s="149" t="s">
        <v>154</v>
      </c>
      <c r="G48" s="145"/>
      <c r="H48" s="145"/>
      <c r="I48" s="266">
        <f>AC94</f>
        <v>9988.8808212797539</v>
      </c>
      <c r="J48" s="267"/>
      <c r="K48" s="73"/>
    </row>
    <row r="49" spans="1:29" s="50" customFormat="1" ht="15.75">
      <c r="A49" s="232" t="s">
        <v>79</v>
      </c>
      <c r="B49" s="233"/>
      <c r="C49" s="244">
        <f>0.0005*C30</f>
        <v>1.7250000000000001</v>
      </c>
      <c r="D49" s="81" t="s">
        <v>32</v>
      </c>
      <c r="E49" s="105"/>
      <c r="F49" s="105"/>
      <c r="G49" s="105"/>
      <c r="H49" s="105"/>
      <c r="I49" s="105"/>
      <c r="J49" s="11"/>
      <c r="K49" s="73"/>
    </row>
    <row r="50" spans="1:29" s="50" customFormat="1" ht="15.75">
      <c r="A50" s="232" t="s">
        <v>137</v>
      </c>
      <c r="B50" s="233"/>
      <c r="C50" s="243">
        <f>IF(Calcoli!O77&lt;0,Calcoli!P77,(C3-C4)*45+Calcoli!P77)</f>
        <v>200</v>
      </c>
      <c r="D50" s="81" t="s">
        <v>32</v>
      </c>
      <c r="E50" s="55"/>
      <c r="F50" s="11"/>
      <c r="G50" s="11"/>
      <c r="H50" s="11"/>
      <c r="I50" s="11"/>
      <c r="J50" s="11"/>
      <c r="K50" s="73"/>
    </row>
    <row r="51" spans="1:29" s="50" customFormat="1" ht="15.75">
      <c r="A51" s="232" t="s">
        <v>138</v>
      </c>
      <c r="B51" s="233"/>
      <c r="C51" s="241">
        <v>50</v>
      </c>
      <c r="D51" s="81" t="s">
        <v>32</v>
      </c>
      <c r="E51" s="260" t="s">
        <v>161</v>
      </c>
      <c r="F51" s="260"/>
      <c r="G51" s="260"/>
      <c r="H51" s="260"/>
      <c r="I51" s="260"/>
      <c r="J51" s="260"/>
      <c r="K51" s="73"/>
    </row>
    <row r="52" spans="1:29" s="50" customFormat="1" ht="15.75">
      <c r="A52" s="236" t="s">
        <v>166</v>
      </c>
      <c r="B52" s="237"/>
      <c r="C52" s="241">
        <v>50</v>
      </c>
      <c r="D52" s="81" t="s">
        <v>32</v>
      </c>
      <c r="E52" s="11"/>
      <c r="F52" s="11"/>
      <c r="G52" s="11"/>
      <c r="H52" s="11"/>
      <c r="I52" s="11"/>
      <c r="J52" s="11"/>
      <c r="K52" s="73"/>
    </row>
    <row r="53" spans="1:29" s="50" customFormat="1" ht="15.75">
      <c r="A53" s="238" t="s">
        <v>165</v>
      </c>
      <c r="B53" s="239"/>
      <c r="C53" s="241">
        <v>25</v>
      </c>
      <c r="D53" s="81" t="s">
        <v>167</v>
      </c>
      <c r="E53" s="11"/>
      <c r="F53" s="11"/>
      <c r="G53" s="11"/>
      <c r="H53" s="11"/>
      <c r="I53" s="11"/>
      <c r="J53" s="11"/>
      <c r="K53" s="73"/>
    </row>
    <row r="54" spans="1:29" s="50" customFormat="1" ht="15.75">
      <c r="A54" s="232" t="s">
        <v>33</v>
      </c>
      <c r="B54" s="233"/>
      <c r="C54" s="245">
        <v>0.18</v>
      </c>
      <c r="D54" s="81" t="s">
        <v>32</v>
      </c>
      <c r="E54" s="11"/>
      <c r="F54" s="11"/>
      <c r="G54" s="11"/>
      <c r="H54" s="11"/>
      <c r="I54" s="11"/>
      <c r="J54" s="11"/>
      <c r="K54" s="73"/>
    </row>
    <row r="55" spans="1:29" s="50" customFormat="1" ht="15.75">
      <c r="A55" s="232" t="s">
        <v>185</v>
      </c>
      <c r="B55" s="233"/>
      <c r="C55" s="243">
        <v>0</v>
      </c>
      <c r="D55" s="81" t="s">
        <v>32</v>
      </c>
      <c r="E55" s="55" t="s">
        <v>225</v>
      </c>
      <c r="F55" s="11"/>
      <c r="G55" s="11"/>
      <c r="H55" s="11"/>
      <c r="I55" s="11"/>
      <c r="J55" s="11"/>
      <c r="K55" s="73"/>
    </row>
    <row r="56" spans="1:29" s="50" customFormat="1" ht="15.75">
      <c r="A56" s="232" t="s">
        <v>155</v>
      </c>
      <c r="B56" s="233"/>
      <c r="C56" s="245">
        <v>0.1</v>
      </c>
      <c r="D56" s="81" t="s">
        <v>32</v>
      </c>
      <c r="E56" s="55" t="s">
        <v>186</v>
      </c>
      <c r="F56" s="11"/>
      <c r="G56" s="11"/>
      <c r="H56" s="11"/>
      <c r="I56" s="11"/>
      <c r="J56" s="11"/>
      <c r="K56" s="73"/>
    </row>
    <row r="57" spans="1:29" s="50" customFormat="1" ht="15.75">
      <c r="A57" s="232" t="s">
        <v>81</v>
      </c>
      <c r="B57" s="233"/>
      <c r="C57" s="242">
        <v>0.9</v>
      </c>
      <c r="D57" s="81" t="s">
        <v>60</v>
      </c>
      <c r="E57" s="55" t="s">
        <v>111</v>
      </c>
      <c r="F57" s="11"/>
      <c r="G57" s="11"/>
      <c r="H57" s="11"/>
      <c r="I57" s="11"/>
      <c r="J57" s="11"/>
      <c r="K57" s="73"/>
    </row>
    <row r="58" spans="1:29" s="50" customFormat="1" ht="16.5" thickBot="1">
      <c r="A58" s="234" t="s">
        <v>61</v>
      </c>
      <c r="B58" s="235"/>
      <c r="C58" s="246">
        <v>3.5</v>
      </c>
      <c r="D58" s="81" t="s">
        <v>60</v>
      </c>
      <c r="E58" s="55" t="s">
        <v>190</v>
      </c>
      <c r="F58" s="11"/>
      <c r="G58" s="11"/>
      <c r="H58" s="11"/>
      <c r="I58" s="11"/>
      <c r="J58" s="11"/>
      <c r="K58" s="73"/>
    </row>
    <row r="59" spans="1:29" s="50" customFormat="1" ht="9" customHeight="1">
      <c r="A59" s="75"/>
      <c r="B59" s="76"/>
      <c r="C59" s="124"/>
      <c r="D59" s="77"/>
      <c r="E59" s="89"/>
      <c r="F59" s="76"/>
      <c r="G59" s="76"/>
      <c r="H59" s="76"/>
      <c r="I59" s="76"/>
      <c r="J59" s="76"/>
      <c r="K59" s="78"/>
    </row>
    <row r="60" spans="1:29" ht="15.75" thickBot="1"/>
    <row r="61" spans="1:29">
      <c r="A61" s="60"/>
      <c r="B61" s="60"/>
      <c r="C61" s="60"/>
      <c r="D61" s="60"/>
      <c r="E61" s="308" t="s">
        <v>39</v>
      </c>
      <c r="F61" s="309" t="s">
        <v>41</v>
      </c>
      <c r="G61" s="309" t="s">
        <v>42</v>
      </c>
      <c r="H61" s="309" t="s">
        <v>43</v>
      </c>
      <c r="I61" s="309" t="s">
        <v>44</v>
      </c>
      <c r="J61" s="309" t="s">
        <v>45</v>
      </c>
      <c r="K61" s="309" t="s">
        <v>46</v>
      </c>
      <c r="L61" s="309" t="s">
        <v>47</v>
      </c>
      <c r="M61" s="309" t="s">
        <v>48</v>
      </c>
      <c r="N61" s="309" t="s">
        <v>49</v>
      </c>
      <c r="O61" s="309" t="s">
        <v>50</v>
      </c>
      <c r="P61" s="309" t="s">
        <v>51</v>
      </c>
      <c r="Q61" s="309" t="s">
        <v>52</v>
      </c>
      <c r="R61" s="309" t="s">
        <v>53</v>
      </c>
      <c r="S61" s="309" t="s">
        <v>54</v>
      </c>
      <c r="T61" s="309" t="s">
        <v>55</v>
      </c>
      <c r="U61" s="309" t="s">
        <v>56</v>
      </c>
      <c r="V61" s="309" t="s">
        <v>57</v>
      </c>
      <c r="W61" s="309" t="s">
        <v>58</v>
      </c>
      <c r="X61" s="310" t="s">
        <v>59</v>
      </c>
      <c r="Y61" s="308" t="s">
        <v>148</v>
      </c>
      <c r="Z61" s="309" t="s">
        <v>149</v>
      </c>
      <c r="AA61" s="309" t="s">
        <v>150</v>
      </c>
      <c r="AB61" s="309" t="s">
        <v>151</v>
      </c>
      <c r="AC61" s="310" t="s">
        <v>152</v>
      </c>
    </row>
    <row r="62" spans="1:29">
      <c r="A62" s="60"/>
      <c r="B62" s="60"/>
      <c r="C62" s="60"/>
      <c r="D62" s="60"/>
      <c r="E62" s="311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3"/>
      <c r="Y62" s="311"/>
      <c r="Z62" s="312"/>
      <c r="AA62" s="312"/>
      <c r="AB62" s="312"/>
      <c r="AC62" s="313"/>
    </row>
    <row r="63" spans="1:29" ht="15.75">
      <c r="A63" s="62" t="s">
        <v>100</v>
      </c>
      <c r="B63" s="60"/>
      <c r="C63" s="60"/>
      <c r="D63" s="60"/>
      <c r="E63" s="314">
        <f>C30</f>
        <v>3450</v>
      </c>
      <c r="F63" s="315">
        <f t="shared" ref="F63" si="0">E63/100*(100-$C$57)</f>
        <v>3418.95</v>
      </c>
      <c r="G63" s="315">
        <f t="shared" ref="G63" si="1">F63/100*(100-$C$57)</f>
        <v>3388.1794499999992</v>
      </c>
      <c r="H63" s="315">
        <f t="shared" ref="H63" si="2">G63/100*(100-$C$57)</f>
        <v>3357.6858349499989</v>
      </c>
      <c r="I63" s="315">
        <f t="shared" ref="I63" si="3">H63/100*(100-$C$57)</f>
        <v>3327.4666624354486</v>
      </c>
      <c r="J63" s="315">
        <f t="shared" ref="J63" si="4">I63/100*(100-$C$57)</f>
        <v>3297.5194624735295</v>
      </c>
      <c r="K63" s="315">
        <f t="shared" ref="K63" si="5">J63/100*(100-$C$57)</f>
        <v>3267.8417873112676</v>
      </c>
      <c r="L63" s="315">
        <f t="shared" ref="L63" si="6">K63/100*(100-$C$57)</f>
        <v>3238.4312112254661</v>
      </c>
      <c r="M63" s="315">
        <f t="shared" ref="M63" si="7">L63/100*(100-$C$57)</f>
        <v>3209.2853303244369</v>
      </c>
      <c r="N63" s="315">
        <f t="shared" ref="N63" si="8">M63/100*(100-$C$57)</f>
        <v>3180.4017623515165</v>
      </c>
      <c r="O63" s="315">
        <f t="shared" ref="O63" si="9">N63/100*(100-$C$57)</f>
        <v>3151.7781464903528</v>
      </c>
      <c r="P63" s="315">
        <f t="shared" ref="P63" si="10">O63/100*(100-$C$57)</f>
        <v>3123.4121431719395</v>
      </c>
      <c r="Q63" s="315">
        <f t="shared" ref="Q63" si="11">P63/100*(100-$C$57)</f>
        <v>3095.3014338833918</v>
      </c>
      <c r="R63" s="315">
        <f t="shared" ref="R63" si="12">Q63/100*(100-$C$57)</f>
        <v>3067.443720978441</v>
      </c>
      <c r="S63" s="315">
        <f t="shared" ref="S63" si="13">R63/100*(100-$C$57)</f>
        <v>3039.836727489635</v>
      </c>
      <c r="T63" s="315">
        <f t="shared" ref="T63" si="14">S63/100*(100-$C$57)</f>
        <v>3012.4781969422284</v>
      </c>
      <c r="U63" s="315">
        <f t="shared" ref="U63" si="15">T63/100*(100-$C$57)</f>
        <v>2985.3658931697482</v>
      </c>
      <c r="V63" s="315">
        <f t="shared" ref="V63" si="16">U63/100*(100-$C$57)</f>
        <v>2958.4976001312202</v>
      </c>
      <c r="W63" s="315">
        <f t="shared" ref="W63" si="17">V63/100*(100-$C$57)</f>
        <v>2931.8711217300392</v>
      </c>
      <c r="X63" s="316">
        <f t="shared" ref="X63" si="18">W63/100*(100-$C$57)</f>
        <v>2905.484281634469</v>
      </c>
      <c r="Y63" s="314">
        <f t="shared" ref="Y63" si="19">X63/100*(100-$C$57)</f>
        <v>2879.3349230997583</v>
      </c>
      <c r="Z63" s="315">
        <f t="shared" ref="Z63" si="20">Y63/100*(100-$C$57)</f>
        <v>2853.4209087918603</v>
      </c>
      <c r="AA63" s="315">
        <f t="shared" ref="AA63" si="21">Z63/100*(100-$C$57)</f>
        <v>2827.7401206127333</v>
      </c>
      <c r="AB63" s="315">
        <f t="shared" ref="AB63" si="22">AA63/100*(100-$C$57)</f>
        <v>2802.2904595272184</v>
      </c>
      <c r="AC63" s="316">
        <f t="shared" ref="AC63" si="23">AB63/100*(100-$C$57)</f>
        <v>2777.0698453914733</v>
      </c>
    </row>
    <row r="64" spans="1:29" ht="15.75">
      <c r="A64" s="62" t="s">
        <v>171</v>
      </c>
      <c r="B64" s="60"/>
      <c r="C64" s="60"/>
      <c r="D64" s="60"/>
      <c r="E64" s="314">
        <f>Calcoli!D262</f>
        <v>2500</v>
      </c>
      <c r="F64" s="315">
        <f>Calcoli!E262</f>
        <v>2550</v>
      </c>
      <c r="G64" s="315">
        <f>Calcoli!F262</f>
        <v>2601</v>
      </c>
      <c r="H64" s="315">
        <f>Calcoli!G262</f>
        <v>2653.02</v>
      </c>
      <c r="I64" s="315">
        <f>Calcoli!H262</f>
        <v>2706.0803999999998</v>
      </c>
      <c r="J64" s="315">
        <f>Calcoli!I262</f>
        <v>2760.2020079999998</v>
      </c>
      <c r="K64" s="315">
        <f>Calcoli!J262</f>
        <v>2815.40604816</v>
      </c>
      <c r="L64" s="315">
        <f>Calcoli!K262</f>
        <v>2871.7141691232</v>
      </c>
      <c r="M64" s="315">
        <f>Calcoli!L262</f>
        <v>2929.148452505664</v>
      </c>
      <c r="N64" s="315">
        <f>Calcoli!M262</f>
        <v>2987.7314215557772</v>
      </c>
      <c r="O64" s="315">
        <f>Calcoli!N262</f>
        <v>3047.4860499868928</v>
      </c>
      <c r="P64" s="315">
        <f>Calcoli!O262</f>
        <v>3108.4357709866308</v>
      </c>
      <c r="Q64" s="315">
        <f>Calcoli!P262</f>
        <v>3170.6044864063633</v>
      </c>
      <c r="R64" s="315">
        <f>Calcoli!Q262</f>
        <v>3234.0165761344906</v>
      </c>
      <c r="S64" s="315">
        <f>Calcoli!R262</f>
        <v>3298.6969076571804</v>
      </c>
      <c r="T64" s="315">
        <f>Calcoli!S262</f>
        <v>3364.670845810324</v>
      </c>
      <c r="U64" s="315">
        <f>Calcoli!T262</f>
        <v>3431.9642627265303</v>
      </c>
      <c r="V64" s="315">
        <f>Calcoli!U262</f>
        <v>3500.6035479810607</v>
      </c>
      <c r="W64" s="315">
        <f>Calcoli!V262</f>
        <v>3570.615618940682</v>
      </c>
      <c r="X64" s="316">
        <f>Calcoli!W262</f>
        <v>3642.0279313194956</v>
      </c>
      <c r="Y64" s="314">
        <f>Calcoli!X262</f>
        <v>3714.8684899458854</v>
      </c>
      <c r="Z64" s="315">
        <f>Calcoli!Y262</f>
        <v>3789.1658597448031</v>
      </c>
      <c r="AA64" s="315">
        <f>Calcoli!Z262</f>
        <v>3864.9491769396991</v>
      </c>
      <c r="AB64" s="315">
        <f>Calcoli!AA262</f>
        <v>3942.248160478493</v>
      </c>
      <c r="AC64" s="316">
        <f>Calcoli!AB262</f>
        <v>4021.0931236880629</v>
      </c>
    </row>
    <row r="65" spans="1:29" ht="16.5" thickBot="1">
      <c r="A65" s="62" t="s">
        <v>28</v>
      </c>
      <c r="B65" s="60"/>
      <c r="C65" s="60"/>
      <c r="D65" s="60"/>
      <c r="E65" s="314">
        <f>IF(Calcoli!D258=TRUE,Calcoli!D225,0)</f>
        <v>1250</v>
      </c>
      <c r="F65" s="315">
        <f>IF(Calcoli!E258=TRUE,Calcoli!E225,0)</f>
        <v>1275</v>
      </c>
      <c r="G65" s="315">
        <f>IF(Calcoli!F258=TRUE,Calcoli!F225,0)</f>
        <v>1300.5</v>
      </c>
      <c r="H65" s="315">
        <f>IF(Calcoli!G258=TRUE,Calcoli!G225,0)</f>
        <v>1326.51</v>
      </c>
      <c r="I65" s="315">
        <f>IF(Calcoli!H258=TRUE,Calcoli!H225,0)</f>
        <v>1353.0401999999999</v>
      </c>
      <c r="J65" s="315">
        <f>IF(Calcoli!I258=TRUE,Calcoli!I225,0)</f>
        <v>1380.1010039999999</v>
      </c>
      <c r="K65" s="315">
        <f>IF(Calcoli!J258=TRUE,Calcoli!J225,0)</f>
        <v>1407.70302408</v>
      </c>
      <c r="L65" s="315">
        <f>IF(Calcoli!K258=TRUE,Calcoli!K225,0)</f>
        <v>1435.8570845616</v>
      </c>
      <c r="M65" s="315">
        <f>IF(Calcoli!L258=TRUE,Calcoli!L225,0)</f>
        <v>1464.574226252832</v>
      </c>
      <c r="N65" s="315">
        <f>IF(Calcoli!M258=TRUE,Calcoli!M225,0)</f>
        <v>1493.8657107778886</v>
      </c>
      <c r="O65" s="315">
        <f>IF(Calcoli!N258=TRUE,Calcoli!N225,0)</f>
        <v>1523.7430249934464</v>
      </c>
      <c r="P65" s="315">
        <f>IF(Calcoli!O258=TRUE,Calcoli!O225,0)</f>
        <v>1554.2178854933154</v>
      </c>
      <c r="Q65" s="315">
        <f>IF(Calcoli!P258=TRUE,Calcoli!P225,0)</f>
        <v>1547.6507169416959</v>
      </c>
      <c r="R65" s="315">
        <f>IF(Calcoli!Q258=TRUE,Calcoli!Q225,0)</f>
        <v>1533.7218604892205</v>
      </c>
      <c r="S65" s="315">
        <f>IF(Calcoli!R258=TRUE,Calcoli!R225,0)</f>
        <v>1519.9183637448175</v>
      </c>
      <c r="T65" s="315">
        <f>IF(Calcoli!S258=TRUE,Calcoli!S225,0)</f>
        <v>1506.2390984711142</v>
      </c>
      <c r="U65" s="315">
        <f>IF(Calcoli!T258=TRUE,Calcoli!T225,0)</f>
        <v>1492.6829465848741</v>
      </c>
      <c r="V65" s="315">
        <f>IF(Calcoli!U258=TRUE,Calcoli!U225,0)</f>
        <v>1479.2488000656101</v>
      </c>
      <c r="W65" s="315">
        <f>IF(Calcoli!V258=TRUE,Calcoli!V225,0)</f>
        <v>1465.9355608650196</v>
      </c>
      <c r="X65" s="316">
        <f>IF(Calcoli!W258=TRUE,Calcoli!W225,0)</f>
        <v>1452.7421408172345</v>
      </c>
      <c r="Y65" s="314">
        <f>IF(Calcoli!X258=TRUE,Calcoli!X225,0)</f>
        <v>1439.6674615498791</v>
      </c>
      <c r="Z65" s="315">
        <f>IF(Calcoli!Y258=TRUE,Calcoli!Y225,0)</f>
        <v>1426.7104543959301</v>
      </c>
      <c r="AA65" s="315">
        <f>IF(Calcoli!Z258=TRUE,Calcoli!Z225,0)</f>
        <v>1413.8700603063667</v>
      </c>
      <c r="AB65" s="315">
        <f>IF(Calcoli!AA258=TRUE,Calcoli!AA225,0)</f>
        <v>1401.1452297636092</v>
      </c>
      <c r="AC65" s="316">
        <f>IF(Calcoli!AB258=TRUE,Calcoli!AB225,0)</f>
        <v>1388.5349226957367</v>
      </c>
    </row>
    <row r="66" spans="1:29" ht="15.75">
      <c r="A66" s="62" t="s">
        <v>228</v>
      </c>
      <c r="B66" s="60"/>
      <c r="C66" s="60"/>
      <c r="D66" s="60"/>
      <c r="E66" s="253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5"/>
      <c r="Y66" s="253"/>
      <c r="Z66" s="254"/>
      <c r="AA66" s="254"/>
      <c r="AB66" s="254"/>
      <c r="AC66" s="255"/>
    </row>
    <row r="67" spans="1:29" ht="16.5" thickBot="1">
      <c r="A67" s="62" t="s">
        <v>229</v>
      </c>
      <c r="B67" s="60"/>
      <c r="C67" s="60"/>
      <c r="D67" s="60"/>
      <c r="E67" s="256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8"/>
      <c r="Y67" s="256"/>
      <c r="Z67" s="257"/>
      <c r="AA67" s="257"/>
      <c r="AB67" s="257"/>
      <c r="AC67" s="258"/>
    </row>
    <row r="68" spans="1:29" ht="15.75">
      <c r="A68" s="62" t="s">
        <v>37</v>
      </c>
      <c r="B68" s="60"/>
      <c r="C68" s="60"/>
      <c r="D68" s="60"/>
      <c r="E68" s="314">
        <f>IF((E63-E65)&lt;0,0,E63-E65)</f>
        <v>2200</v>
      </c>
      <c r="F68" s="315">
        <f t="shared" ref="F68:X68" si="24">IF((F63-F65)&lt;0,0,F63-F65)</f>
        <v>2143.9499999999998</v>
      </c>
      <c r="G68" s="315">
        <f t="shared" si="24"/>
        <v>2087.6794499999992</v>
      </c>
      <c r="H68" s="315">
        <f t="shared" si="24"/>
        <v>2031.1758349499989</v>
      </c>
      <c r="I68" s="315">
        <f t="shared" si="24"/>
        <v>1974.4264624354487</v>
      </c>
      <c r="J68" s="315">
        <f t="shared" si="24"/>
        <v>1917.4184584735297</v>
      </c>
      <c r="K68" s="315">
        <f t="shared" si="24"/>
        <v>1860.1387632312676</v>
      </c>
      <c r="L68" s="315">
        <f t="shared" si="24"/>
        <v>1802.5741266638661</v>
      </c>
      <c r="M68" s="315">
        <f t="shared" si="24"/>
        <v>1744.711104071605</v>
      </c>
      <c r="N68" s="315">
        <f t="shared" si="24"/>
        <v>1686.5360515736279</v>
      </c>
      <c r="O68" s="315">
        <f t="shared" si="24"/>
        <v>1628.0351214969064</v>
      </c>
      <c r="P68" s="315">
        <f t="shared" si="24"/>
        <v>1569.1942576786241</v>
      </c>
      <c r="Q68" s="315">
        <f t="shared" si="24"/>
        <v>1547.6507169416959</v>
      </c>
      <c r="R68" s="315">
        <f t="shared" si="24"/>
        <v>1533.7218604892205</v>
      </c>
      <c r="S68" s="315">
        <f t="shared" si="24"/>
        <v>1519.9183637448175</v>
      </c>
      <c r="T68" s="315">
        <f t="shared" si="24"/>
        <v>1506.2390984711142</v>
      </c>
      <c r="U68" s="315">
        <f t="shared" si="24"/>
        <v>1492.6829465848741</v>
      </c>
      <c r="V68" s="315">
        <f t="shared" si="24"/>
        <v>1479.2488000656101</v>
      </c>
      <c r="W68" s="315">
        <f t="shared" si="24"/>
        <v>1465.9355608650196</v>
      </c>
      <c r="X68" s="316">
        <f t="shared" si="24"/>
        <v>1452.7421408172345</v>
      </c>
      <c r="Y68" s="314">
        <f t="shared" ref="Y68:AC68" si="25">IF((Y63-Y65)&lt;0,0,Y63-Y65)</f>
        <v>1439.6674615498791</v>
      </c>
      <c r="Z68" s="315">
        <f t="shared" si="25"/>
        <v>1426.7104543959301</v>
      </c>
      <c r="AA68" s="315">
        <f t="shared" si="25"/>
        <v>1413.8700603063667</v>
      </c>
      <c r="AB68" s="315">
        <f t="shared" si="25"/>
        <v>1401.1452297636092</v>
      </c>
      <c r="AC68" s="316">
        <f t="shared" si="25"/>
        <v>1388.5349226957367</v>
      </c>
    </row>
    <row r="69" spans="1:29" ht="11.25" customHeight="1">
      <c r="A69" s="62"/>
      <c r="B69" s="60"/>
      <c r="C69" s="60"/>
      <c r="D69" s="60"/>
      <c r="E69" s="311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3"/>
      <c r="Y69" s="311"/>
      <c r="Z69" s="312"/>
      <c r="AA69" s="312"/>
      <c r="AB69" s="312"/>
      <c r="AC69" s="313"/>
    </row>
    <row r="70" spans="1:29" ht="15.75">
      <c r="A70" s="131" t="s">
        <v>140</v>
      </c>
      <c r="B70" s="132"/>
      <c r="C70" s="132"/>
      <c r="D70" s="60"/>
      <c r="E70" s="317">
        <f>IF(Calcoli!$D$1&lt;6,E68*$D$25/1000,0)</f>
        <v>501.6</v>
      </c>
      <c r="F70" s="318">
        <f>IF(Calcoli!$D$1&lt;6,F68*$D$25/1000,0)</f>
        <v>488.82059999999996</v>
      </c>
      <c r="G70" s="318">
        <f>IF(Calcoli!$D$1&lt;6,G68*$D$25/1000,0)</f>
        <v>475.99091459999977</v>
      </c>
      <c r="H70" s="318">
        <f>IF(Calcoli!$D$1&lt;6,H68*$D$25/1000,0)</f>
        <v>463.10809036859973</v>
      </c>
      <c r="I70" s="318">
        <f>IF(Calcoli!$D$1&lt;6,I68*$D$25/1000,0)</f>
        <v>450.16923343528231</v>
      </c>
      <c r="J70" s="318">
        <f>IF(Calcoli!$D$1&lt;6,J68*$D$25/1000,0)</f>
        <v>437.17140853196474</v>
      </c>
      <c r="K70" s="318">
        <f>IF(Calcoli!$D$1&lt;6,K68*$D$25/1000,0)</f>
        <v>424.11163801672905</v>
      </c>
      <c r="L70" s="318">
        <f>IF(Calcoli!$D$1&lt;6,L68*$D$25/1000,0)</f>
        <v>410.98690087936149</v>
      </c>
      <c r="M70" s="318">
        <f>IF(Calcoli!$D$1&lt;6,M68*$D$25/1000,0)</f>
        <v>397.79413172832591</v>
      </c>
      <c r="N70" s="318">
        <f>IF(Calcoli!$D$1&lt;6,N68*$D$25/1000,0)</f>
        <v>384.53021975878715</v>
      </c>
      <c r="O70" s="318">
        <f>IF(Calcoli!$D$1&lt;6,O68*$D$25/1000,0)</f>
        <v>371.1920077012947</v>
      </c>
      <c r="P70" s="318">
        <f>IF(Calcoli!$D$1&lt;6,P68*$D$25/1000,0)</f>
        <v>357.77629075072628</v>
      </c>
      <c r="Q70" s="318">
        <f>IF(Calcoli!$D$1&lt;6,Q68*$D$25/1000,0)</f>
        <v>352.86436346270671</v>
      </c>
      <c r="R70" s="318">
        <f>IF(Calcoli!$D$1&lt;6,R68*$D$25/1000,0)</f>
        <v>349.6885841915423</v>
      </c>
      <c r="S70" s="318">
        <f>IF(Calcoli!$D$1&lt;6,S68*$D$25/1000,0)</f>
        <v>346.54138693381839</v>
      </c>
      <c r="T70" s="318">
        <f>IF(Calcoli!$D$1&lt;6,T68*$D$25/1000,0)</f>
        <v>343.42251445141403</v>
      </c>
      <c r="U70" s="318">
        <f>IF(Calcoli!$D$1&lt;6,U68*$D$25/1000,0)</f>
        <v>340.33171182135129</v>
      </c>
      <c r="V70" s="318">
        <f>IF(Calcoli!$D$1&lt;6,V68*$D$25/1000,0)</f>
        <v>337.26872641495913</v>
      </c>
      <c r="W70" s="318">
        <f>IF(Calcoli!$D$1&lt;6,W68*$D$25/1000,0)</f>
        <v>334.23330787722449</v>
      </c>
      <c r="X70" s="319">
        <f>IF(Calcoli!$D$1&lt;6,X68*$D$25/1000,0)</f>
        <v>331.22520810632949</v>
      </c>
      <c r="Y70" s="317">
        <v>0</v>
      </c>
      <c r="Z70" s="318">
        <v>0</v>
      </c>
      <c r="AA70" s="318">
        <v>0</v>
      </c>
      <c r="AB70" s="318">
        <v>0</v>
      </c>
      <c r="AC70" s="319">
        <v>0</v>
      </c>
    </row>
    <row r="71" spans="1:29" ht="16.5" thickBot="1">
      <c r="A71" s="131" t="s">
        <v>141</v>
      </c>
      <c r="B71" s="132"/>
      <c r="C71" s="132"/>
      <c r="D71" s="60"/>
      <c r="E71" s="317">
        <f>IF(Calcoli!$D$1&lt;6,E65*$D$26/1000,0)</f>
        <v>182.5</v>
      </c>
      <c r="F71" s="318">
        <f>IF(Calcoli!$D$1&lt;6,F65*$D$26/1000,0)</f>
        <v>186.15</v>
      </c>
      <c r="G71" s="318">
        <f>IF(Calcoli!$D$1&lt;6,G65*$D$26/1000,0)</f>
        <v>189.87299999999999</v>
      </c>
      <c r="H71" s="318">
        <f>IF(Calcoli!$D$1&lt;6,H65*$D$26/1000,0)</f>
        <v>193.67045999999999</v>
      </c>
      <c r="I71" s="318">
        <f>IF(Calcoli!$D$1&lt;6,I65*$D$26/1000,0)</f>
        <v>197.54386919999999</v>
      </c>
      <c r="J71" s="318">
        <f>IF(Calcoli!$D$1&lt;6,J65*$D$26/1000,0)</f>
        <v>201.49474658399998</v>
      </c>
      <c r="K71" s="318">
        <f>IF(Calcoli!$D$1&lt;6,K65*$D$26/1000,0)</f>
        <v>205.52464151568</v>
      </c>
      <c r="L71" s="318">
        <f>IF(Calcoli!$D$1&lt;6,L65*$D$26/1000,0)</f>
        <v>209.63513434599361</v>
      </c>
      <c r="M71" s="318">
        <f>IF(Calcoli!$D$1&lt;6,M65*$D$26/1000,0)</f>
        <v>213.82783703291346</v>
      </c>
      <c r="N71" s="318">
        <f>IF(Calcoli!$D$1&lt;6,N65*$D$26/1000,0)</f>
        <v>218.10439377357173</v>
      </c>
      <c r="O71" s="318">
        <f>IF(Calcoli!$D$1&lt;6,O65*$D$26/1000,0)</f>
        <v>222.46648164904317</v>
      </c>
      <c r="P71" s="318">
        <f>IF(Calcoli!$D$1&lt;6,P65*$D$26/1000,0)</f>
        <v>226.91581128202404</v>
      </c>
      <c r="Q71" s="318">
        <f>IF(Calcoli!$D$1&lt;6,Q65*$D$26/1000,0)</f>
        <v>225.9570046734876</v>
      </c>
      <c r="R71" s="318">
        <f>IF(Calcoli!$D$1&lt;6,R65*$D$26/1000,0)</f>
        <v>223.9233916314262</v>
      </c>
      <c r="S71" s="318">
        <f>IF(Calcoli!$D$1&lt;6,S65*$D$26/1000,0)</f>
        <v>221.90808110674337</v>
      </c>
      <c r="T71" s="318">
        <f>IF(Calcoli!$D$1&lt;6,T65*$D$26/1000,0)</f>
        <v>219.91090837678266</v>
      </c>
      <c r="U71" s="318">
        <f>IF(Calcoli!$D$1&lt;6,U65*$D$26/1000,0)</f>
        <v>217.93171020139164</v>
      </c>
      <c r="V71" s="318">
        <f>IF(Calcoli!$D$1&lt;6,V65*$D$26/1000,0)</f>
        <v>215.97032480957907</v>
      </c>
      <c r="W71" s="318">
        <f>IF(Calcoli!$D$1&lt;6,W65*$D$26/1000,0)</f>
        <v>214.02659188629286</v>
      </c>
      <c r="X71" s="319">
        <f>IF(Calcoli!$D$1&lt;6,X65*$D$26/1000,0)</f>
        <v>212.10035255931624</v>
      </c>
      <c r="Y71" s="317">
        <v>0</v>
      </c>
      <c r="Z71" s="318">
        <v>0</v>
      </c>
      <c r="AA71" s="318">
        <v>0</v>
      </c>
      <c r="AB71" s="318">
        <v>0</v>
      </c>
      <c r="AC71" s="319">
        <v>0</v>
      </c>
    </row>
    <row r="72" spans="1:29" ht="15.75">
      <c r="A72" s="131" t="s">
        <v>226</v>
      </c>
      <c r="B72" s="132"/>
      <c r="C72" s="132"/>
      <c r="D72" s="60"/>
      <c r="E72" s="247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9"/>
      <c r="Y72" s="247"/>
      <c r="Z72" s="248"/>
      <c r="AA72" s="248"/>
      <c r="AB72" s="248"/>
      <c r="AC72" s="249"/>
    </row>
    <row r="73" spans="1:29" ht="16.5" thickBot="1">
      <c r="A73" s="131" t="s">
        <v>163</v>
      </c>
      <c r="B73" s="132"/>
      <c r="C73" s="132"/>
      <c r="D73" s="60"/>
      <c r="E73" s="250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2"/>
      <c r="Y73" s="250"/>
      <c r="Z73" s="251"/>
      <c r="AA73" s="251"/>
      <c r="AB73" s="251"/>
      <c r="AC73" s="252"/>
    </row>
    <row r="74" spans="1:29" ht="15.75">
      <c r="A74" s="131" t="s">
        <v>160</v>
      </c>
      <c r="B74" s="132"/>
      <c r="C74" s="132"/>
      <c r="D74" s="60"/>
      <c r="E74" s="317">
        <f>IF(Calcoli!$D$233=TRUE,Calcoli!D253*E68,0)</f>
        <v>0</v>
      </c>
      <c r="F74" s="318">
        <f>IF(Calcoli!$D$233=TRUE,Calcoli!E253*F68,0)</f>
        <v>0</v>
      </c>
      <c r="G74" s="318">
        <f>IF(Calcoli!$D$233=TRUE,Calcoli!F253*G68,0)</f>
        <v>0</v>
      </c>
      <c r="H74" s="318">
        <f>IF(Calcoli!$D$233=TRUE,Calcoli!G253*H68,0)</f>
        <v>0</v>
      </c>
      <c r="I74" s="318">
        <f>IF(Calcoli!$D$233=TRUE,Calcoli!H253*I68,0)</f>
        <v>0</v>
      </c>
      <c r="J74" s="318">
        <f>IF(Calcoli!$D$233=TRUE,Calcoli!I253*J68,0)</f>
        <v>0</v>
      </c>
      <c r="K74" s="318">
        <f>IF(Calcoli!$D$233=TRUE,Calcoli!J253*K68,0)</f>
        <v>0</v>
      </c>
      <c r="L74" s="318">
        <f>IF(Calcoli!$D$233=TRUE,Calcoli!K253*L68,0)</f>
        <v>0</v>
      </c>
      <c r="M74" s="318">
        <f>IF(Calcoli!$D$233=TRUE,Calcoli!L253*M68,0)</f>
        <v>0</v>
      </c>
      <c r="N74" s="318">
        <f>IF(Calcoli!$D$233=TRUE,Calcoli!M253*N68,0)</f>
        <v>0</v>
      </c>
      <c r="O74" s="318">
        <f>IF(Calcoli!$D$233=TRUE,Calcoli!N253*O68,0)</f>
        <v>0</v>
      </c>
      <c r="P74" s="318">
        <f>IF(Calcoli!$D$233=TRUE,Calcoli!O253*P68,0)</f>
        <v>0</v>
      </c>
      <c r="Q74" s="318">
        <f>IF(Calcoli!$D$233=TRUE,Calcoli!P253*Q68,0)</f>
        <v>0</v>
      </c>
      <c r="R74" s="318">
        <f>IF(Calcoli!$D$233=TRUE,Calcoli!Q253*R68,0)</f>
        <v>0</v>
      </c>
      <c r="S74" s="318">
        <f>IF(Calcoli!$D$233=TRUE,Calcoli!R253*S68,0)</f>
        <v>0</v>
      </c>
      <c r="T74" s="318">
        <f>IF(Calcoli!$D$233=TRUE,Calcoli!S253*T68,0)</f>
        <v>0</v>
      </c>
      <c r="U74" s="318">
        <f>IF(Calcoli!$D$233=TRUE,Calcoli!T253*U68,0)</f>
        <v>0</v>
      </c>
      <c r="V74" s="318">
        <f>IF(Calcoli!$D$233=TRUE,Calcoli!U253*V68,0)</f>
        <v>0</v>
      </c>
      <c r="W74" s="318">
        <f>IF(Calcoli!$D$233=TRUE,Calcoli!V253*W68,0)</f>
        <v>0</v>
      </c>
      <c r="X74" s="319">
        <f>IF(Calcoli!$D$233=TRUE,Calcoli!W253*X68,0)</f>
        <v>0</v>
      </c>
      <c r="Y74" s="317">
        <f>IF(Calcoli!$Q$49=2,Y68*Calcoli!X253,0)</f>
        <v>0</v>
      </c>
      <c r="Z74" s="318">
        <f>IF(Calcoli!$Q$49=2,Z68*Calcoli!Y253,0)</f>
        <v>0</v>
      </c>
      <c r="AA74" s="318">
        <f>IF(Calcoli!$Q$49=2,AA68*Calcoli!Z253,0)</f>
        <v>0</v>
      </c>
      <c r="AB74" s="318">
        <f>IF(Calcoli!$Q$49=2,AB68*Calcoli!AA253,0)</f>
        <v>0</v>
      </c>
      <c r="AC74" s="319">
        <f>IF(Calcoli!$Q$49=2,AC68*Calcoli!AB253,0)</f>
        <v>0</v>
      </c>
    </row>
    <row r="75" spans="1:29" ht="16.5" thickBot="1">
      <c r="A75" s="133" t="s">
        <v>38</v>
      </c>
      <c r="B75" s="134"/>
      <c r="C75" s="134"/>
      <c r="D75" s="60"/>
      <c r="E75" s="320">
        <f>(Calcoli!D249*E65)</f>
        <v>225</v>
      </c>
      <c r="F75" s="321">
        <f>(Calcoli!E249*F65)</f>
        <v>237.5325</v>
      </c>
      <c r="G75" s="321">
        <f>(Calcoli!F249*G65)</f>
        <v>250.76306025</v>
      </c>
      <c r="H75" s="321">
        <f>(Calcoli!G249*H65)</f>
        <v>264.73056270592502</v>
      </c>
      <c r="I75" s="321">
        <f>(Calcoli!H249*I65)</f>
        <v>279.47605504864504</v>
      </c>
      <c r="J75" s="321">
        <f>(Calcoli!I249*J65)</f>
        <v>295.04287131485455</v>
      </c>
      <c r="K75" s="321">
        <f>(Calcoli!J249*K65)</f>
        <v>311.47675924709193</v>
      </c>
      <c r="L75" s="321">
        <f>(Calcoli!K249*L65)</f>
        <v>328.82601473715499</v>
      </c>
      <c r="M75" s="321">
        <f>(Calcoli!L249*M65)</f>
        <v>347.14162375801448</v>
      </c>
      <c r="N75" s="321">
        <f>(Calcoli!M249*N65)</f>
        <v>366.47741220133588</v>
      </c>
      <c r="O75" s="321">
        <f>(Calcoli!N249*O65)</f>
        <v>386.89020406095034</v>
      </c>
      <c r="P75" s="321">
        <f>(Calcoli!O249*P65)</f>
        <v>408.43998842714529</v>
      </c>
      <c r="Q75" s="321">
        <f>(Calcoli!P249*Q65)</f>
        <v>420.94916836024004</v>
      </c>
      <c r="R75" s="321">
        <f>(Calcoli!Q249*R65)</f>
        <v>431.76124774957276</v>
      </c>
      <c r="S75" s="321">
        <f>(Calcoli!R249*S65)</f>
        <v>442.85103539802054</v>
      </c>
      <c r="T75" s="321">
        <f>(Calcoli!S249*T65)</f>
        <v>454.22566424221867</v>
      </c>
      <c r="U75" s="321">
        <f>(Calcoli!T249*U65)</f>
        <v>465.89245042828009</v>
      </c>
      <c r="V75" s="321">
        <f>(Calcoli!U249*V65)</f>
        <v>477.85889801753041</v>
      </c>
      <c r="W75" s="321">
        <f>(Calcoli!V249*W65)</f>
        <v>490.13270381311065</v>
      </c>
      <c r="X75" s="322">
        <f>(Calcoli!W249*X65)</f>
        <v>502.72176231055045</v>
      </c>
      <c r="Y75" s="320">
        <f>(Calcoli!X249*Y65)</f>
        <v>515.63417077549684</v>
      </c>
      <c r="Z75" s="321">
        <f>(Calcoli!Y249*Z65)</f>
        <v>528.87823445186552</v>
      </c>
      <c r="AA75" s="321">
        <f>(Calcoli!Z249*AA65)</f>
        <v>542.46247190376164</v>
      </c>
      <c r="AB75" s="321">
        <f>(Calcoli!AA249*AB65)</f>
        <v>556.39562049460972</v>
      </c>
      <c r="AC75" s="322">
        <f>(Calcoli!AB249*AC65)</f>
        <v>570.68664200701369</v>
      </c>
    </row>
    <row r="76" spans="1:29" ht="16.5" thickBot="1">
      <c r="A76" s="227" t="s">
        <v>146</v>
      </c>
      <c r="B76" s="228"/>
      <c r="C76" s="228"/>
      <c r="D76" s="60"/>
      <c r="E76" s="224">
        <f>SUM(E70:E75)</f>
        <v>909.1</v>
      </c>
      <c r="F76" s="225">
        <f t="shared" ref="F76:X76" si="26">SUM(F70:F75)</f>
        <v>912.50310000000002</v>
      </c>
      <c r="G76" s="225">
        <f t="shared" si="26"/>
        <v>916.62697484999978</v>
      </c>
      <c r="H76" s="225">
        <f t="shared" si="26"/>
        <v>921.50911307452475</v>
      </c>
      <c r="I76" s="225">
        <f t="shared" si="26"/>
        <v>927.18915768392731</v>
      </c>
      <c r="J76" s="225">
        <f t="shared" si="26"/>
        <v>933.70902643081934</v>
      </c>
      <c r="K76" s="225">
        <f t="shared" si="26"/>
        <v>941.11303877950104</v>
      </c>
      <c r="L76" s="225">
        <f t="shared" si="26"/>
        <v>949.44804996251014</v>
      </c>
      <c r="M76" s="225">
        <f t="shared" si="26"/>
        <v>958.76359251925385</v>
      </c>
      <c r="N76" s="225">
        <f t="shared" si="26"/>
        <v>969.11202573369474</v>
      </c>
      <c r="O76" s="225">
        <f t="shared" si="26"/>
        <v>980.54869341128824</v>
      </c>
      <c r="P76" s="225">
        <f t="shared" si="26"/>
        <v>993.13209045989561</v>
      </c>
      <c r="Q76" s="225">
        <f t="shared" si="26"/>
        <v>999.77053649643437</v>
      </c>
      <c r="R76" s="225">
        <f t="shared" si="26"/>
        <v>1005.3732235725413</v>
      </c>
      <c r="S76" s="225">
        <f t="shared" si="26"/>
        <v>1011.3005034385824</v>
      </c>
      <c r="T76" s="225">
        <f t="shared" si="26"/>
        <v>1017.5590870704154</v>
      </c>
      <c r="U76" s="225">
        <f t="shared" si="26"/>
        <v>1024.155872451023</v>
      </c>
      <c r="V76" s="225">
        <f t="shared" si="26"/>
        <v>1031.0979492420686</v>
      </c>
      <c r="W76" s="225">
        <f t="shared" si="26"/>
        <v>1038.3926035766281</v>
      </c>
      <c r="X76" s="226">
        <f t="shared" si="26"/>
        <v>1046.0473229761963</v>
      </c>
      <c r="Y76" s="341">
        <f t="shared" ref="Y76:AC76" si="27">SUM(Y70:Y75)</f>
        <v>515.63417077549684</v>
      </c>
      <c r="Z76" s="226">
        <f t="shared" si="27"/>
        <v>528.87823445186552</v>
      </c>
      <c r="AA76" s="226">
        <f t="shared" si="27"/>
        <v>542.46247190376164</v>
      </c>
      <c r="AB76" s="226">
        <f t="shared" si="27"/>
        <v>556.39562049460972</v>
      </c>
      <c r="AC76" s="226">
        <f t="shared" si="27"/>
        <v>570.68664200701369</v>
      </c>
    </row>
    <row r="77" spans="1:29" ht="11.25" customHeight="1">
      <c r="A77" s="62"/>
      <c r="B77" s="60"/>
      <c r="C77" s="60"/>
      <c r="D77" s="60"/>
      <c r="E77" s="323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5"/>
      <c r="Y77" s="323"/>
      <c r="Z77" s="324"/>
      <c r="AA77" s="324"/>
      <c r="AB77" s="324"/>
      <c r="AC77" s="325"/>
    </row>
    <row r="78" spans="1:29" ht="15.75">
      <c r="A78" s="135" t="s">
        <v>89</v>
      </c>
      <c r="B78" s="136"/>
      <c r="C78" s="60"/>
      <c r="D78" s="60"/>
      <c r="E78" s="326">
        <f>IF(Calcoli!$I$72=TRUE,Calcoli!D88,0)</f>
        <v>0</v>
      </c>
      <c r="F78" s="327">
        <f>IF(Calcoli!$I$72=TRUE,Calcoli!E88,0)</f>
        <v>0</v>
      </c>
      <c r="G78" s="327">
        <f>IF(Calcoli!$I$72=TRUE,Calcoli!F88,0)</f>
        <v>0</v>
      </c>
      <c r="H78" s="327">
        <f>IF(Calcoli!$I$72=TRUE,Calcoli!G88,0)</f>
        <v>0</v>
      </c>
      <c r="I78" s="327">
        <f>IF(Calcoli!$I$72=TRUE,Calcoli!H88,0)</f>
        <v>0</v>
      </c>
      <c r="J78" s="327">
        <f>IF(Calcoli!$I$72=TRUE,Calcoli!I88,0)</f>
        <v>0</v>
      </c>
      <c r="K78" s="327">
        <f>IF(Calcoli!$I$72=TRUE,Calcoli!J88,0)</f>
        <v>0</v>
      </c>
      <c r="L78" s="327">
        <f>IF(Calcoli!$I$72=TRUE,Calcoli!K88,0)</f>
        <v>0</v>
      </c>
      <c r="M78" s="327">
        <f>IF(Calcoli!$I$72=TRUE,Calcoli!L88,0)</f>
        <v>0</v>
      </c>
      <c r="N78" s="327">
        <f>IF(Calcoli!$I$72=TRUE,Calcoli!M88,0)</f>
        <v>0</v>
      </c>
      <c r="O78" s="327">
        <f>IF(Calcoli!$I$72=TRUE,Calcoli!N88,0)</f>
        <v>0</v>
      </c>
      <c r="P78" s="327">
        <f>IF(Calcoli!$I$72=TRUE,Calcoli!O88,0)</f>
        <v>0</v>
      </c>
      <c r="Q78" s="327">
        <f>IF(Calcoli!$I$72=TRUE,Calcoli!P88,0)</f>
        <v>0</v>
      </c>
      <c r="R78" s="327">
        <f>IF(Calcoli!$I$72=TRUE,Calcoli!Q88,0)</f>
        <v>0</v>
      </c>
      <c r="S78" s="327">
        <f>IF(Calcoli!$I$72=TRUE,Calcoli!R88,0)</f>
        <v>0</v>
      </c>
      <c r="T78" s="327">
        <f>IF(Calcoli!$I$72=TRUE,Calcoli!S88,0)</f>
        <v>0</v>
      </c>
      <c r="U78" s="327">
        <f>IF(Calcoli!$I$72=TRUE,Calcoli!T88,0)</f>
        <v>0</v>
      </c>
      <c r="V78" s="327">
        <f>IF(Calcoli!$I$72=TRUE,Calcoli!U88,0)</f>
        <v>0</v>
      </c>
      <c r="W78" s="327">
        <f>IF(Calcoli!$I$72=TRUE,Calcoli!V88,0)</f>
        <v>0</v>
      </c>
      <c r="X78" s="328">
        <f>IF(Calcoli!$I$72=TRUE,Calcoli!W88,0)</f>
        <v>0</v>
      </c>
      <c r="Y78" s="326">
        <f>IF(Calcoli!$I$72=TRUE,Calcoli!X88,0)</f>
        <v>0</v>
      </c>
      <c r="Z78" s="327">
        <f>IF(Calcoli!$I$72=TRUE,Calcoli!Y88,0)</f>
        <v>0</v>
      </c>
      <c r="AA78" s="327">
        <f>IF(Calcoli!$I$72=TRUE,Calcoli!Z88,0)</f>
        <v>0</v>
      </c>
      <c r="AB78" s="327">
        <f>IF(Calcoli!$I$72=TRUE,Calcoli!AA88,0)</f>
        <v>0</v>
      </c>
      <c r="AC78" s="328">
        <f>IF(Calcoli!$I$72=TRUE,Calcoli!AB88,0)</f>
        <v>0</v>
      </c>
    </row>
    <row r="79" spans="1:29" ht="15.75">
      <c r="A79" s="135" t="s">
        <v>118</v>
      </c>
      <c r="B79" s="136"/>
      <c r="C79" s="60"/>
      <c r="D79" s="60"/>
      <c r="E79" s="329">
        <f>IF(Calcoli!$L$72=FALSE,Calcoli!D68,0)</f>
        <v>0</v>
      </c>
      <c r="F79" s="330">
        <f>IF(Calcoli!$L$72=FALSE,Calcoli!E68,0)</f>
        <v>0</v>
      </c>
      <c r="G79" s="330">
        <f>IF(Calcoli!$L$72=FALSE,Calcoli!F68,0)</f>
        <v>0</v>
      </c>
      <c r="H79" s="330">
        <f>IF(Calcoli!$L$72=FALSE,Calcoli!G68,0)</f>
        <v>0</v>
      </c>
      <c r="I79" s="330">
        <f>IF(Calcoli!$L$72=FALSE,Calcoli!H68,0)</f>
        <v>0</v>
      </c>
      <c r="J79" s="330">
        <f>IF(Calcoli!$L$72=FALSE,Calcoli!I68,0)</f>
        <v>0</v>
      </c>
      <c r="K79" s="330">
        <f>IF(Calcoli!$L$72=FALSE,Calcoli!J68,0)</f>
        <v>0</v>
      </c>
      <c r="L79" s="330">
        <f>IF(Calcoli!$L$72=FALSE,Calcoli!K68,0)</f>
        <v>0</v>
      </c>
      <c r="M79" s="330">
        <f>IF(Calcoli!$L$72=FALSE,Calcoli!L68,0)</f>
        <v>0</v>
      </c>
      <c r="N79" s="330">
        <f>IF(Calcoli!$L$72=FALSE,Calcoli!M68,0)</f>
        <v>0</v>
      </c>
      <c r="O79" s="330">
        <f>IF(Calcoli!$L$72=FALSE,Calcoli!N68,0)</f>
        <v>0</v>
      </c>
      <c r="P79" s="330">
        <f>IF(Calcoli!$L$72=FALSE,Calcoli!O68,0)</f>
        <v>0</v>
      </c>
      <c r="Q79" s="330">
        <f>IF(Calcoli!$L$72=FALSE,Calcoli!P68,0)</f>
        <v>0</v>
      </c>
      <c r="R79" s="330">
        <f>IF(Calcoli!$L$72=FALSE,Calcoli!Q68,0)</f>
        <v>0</v>
      </c>
      <c r="S79" s="330">
        <f>IF(Calcoli!$L$72=FALSE,Calcoli!R68,0)</f>
        <v>0</v>
      </c>
      <c r="T79" s="330">
        <f>IF(Calcoli!$L$72=FALSE,Calcoli!S68,0)</f>
        <v>0</v>
      </c>
      <c r="U79" s="330">
        <f>IF(Calcoli!$L$72=FALSE,Calcoli!T68,0)</f>
        <v>0</v>
      </c>
      <c r="V79" s="330">
        <f>IF(Calcoli!$L$72=FALSE,Calcoli!U68,0)</f>
        <v>0</v>
      </c>
      <c r="W79" s="330">
        <f>IF(Calcoli!$L$72=FALSE,Calcoli!V68,0)</f>
        <v>0</v>
      </c>
      <c r="X79" s="331">
        <f>IF(Calcoli!$L$72=FALSE,Calcoli!W68,0)</f>
        <v>0</v>
      </c>
      <c r="Y79" s="329">
        <f>IF(Calcoli!$L$72=FALSE,Calcoli!X68,0)</f>
        <v>0</v>
      </c>
      <c r="Z79" s="330">
        <f>IF(Calcoli!$L$72=FALSE,Calcoli!Y68,0)</f>
        <v>0</v>
      </c>
      <c r="AA79" s="330">
        <f>IF(Calcoli!$L$72=FALSE,Calcoli!Z68,0)</f>
        <v>0</v>
      </c>
      <c r="AB79" s="330">
        <f>IF(Calcoli!$L$72=FALSE,Calcoli!AA68,0)</f>
        <v>0</v>
      </c>
      <c r="AC79" s="331">
        <f>IF(Calcoli!$L$72=FALSE,Calcoli!AB68,0)</f>
        <v>0</v>
      </c>
    </row>
    <row r="80" spans="1:29" ht="15.75">
      <c r="A80" s="135" t="s">
        <v>87</v>
      </c>
      <c r="B80" s="136"/>
      <c r="C80" s="60"/>
      <c r="D80" s="60"/>
      <c r="E80" s="326">
        <f>IF(Calcoli!$I$76=TRUE,Calcoli!D111,0)</f>
        <v>0</v>
      </c>
      <c r="F80" s="327">
        <f>IF(Calcoli!$I$76=TRUE,Calcoli!E111,0)</f>
        <v>0</v>
      </c>
      <c r="G80" s="327">
        <f>IF(Calcoli!$I$76=TRUE,Calcoli!F111,0)</f>
        <v>0</v>
      </c>
      <c r="H80" s="327">
        <f>IF(Calcoli!$I$76=TRUE,Calcoli!G111,0)</f>
        <v>0</v>
      </c>
      <c r="I80" s="327">
        <f>IF(Calcoli!$I$76=TRUE,Calcoli!H111,0)</f>
        <v>0</v>
      </c>
      <c r="J80" s="327">
        <f>IF(Calcoli!$I$76=TRUE,Calcoli!I111,0)</f>
        <v>0</v>
      </c>
      <c r="K80" s="327">
        <f>IF(Calcoli!$I$76=TRUE,Calcoli!J111,0)</f>
        <v>0</v>
      </c>
      <c r="L80" s="327">
        <f>IF(Calcoli!$I$76=TRUE,Calcoli!K111,0)</f>
        <v>0</v>
      </c>
      <c r="M80" s="327">
        <f>IF(Calcoli!$I$76=TRUE,Calcoli!L111,0)</f>
        <v>0</v>
      </c>
      <c r="N80" s="327">
        <f>IF(Calcoli!$I$76=TRUE,Calcoli!M111,0)</f>
        <v>0</v>
      </c>
      <c r="O80" s="327">
        <f>IF(Calcoli!$I$76=TRUE,Calcoli!N111,0)</f>
        <v>0</v>
      </c>
      <c r="P80" s="327">
        <f>IF(Calcoli!$I$76=TRUE,Calcoli!O111,0)</f>
        <v>0</v>
      </c>
      <c r="Q80" s="327">
        <f>IF(Calcoli!$I$76=TRUE,Calcoli!P111,0)</f>
        <v>0</v>
      </c>
      <c r="R80" s="327">
        <f>IF(Calcoli!$I$76=TRUE,Calcoli!Q111,0)</f>
        <v>0</v>
      </c>
      <c r="S80" s="327">
        <f>IF(Calcoli!$I$76=TRUE,Calcoli!R111,0)</f>
        <v>0</v>
      </c>
      <c r="T80" s="327">
        <f>IF(Calcoli!$I$76=TRUE,Calcoli!S111,0)</f>
        <v>0</v>
      </c>
      <c r="U80" s="327">
        <f>IF(Calcoli!$I$76=TRUE,Calcoli!T111,0)</f>
        <v>0</v>
      </c>
      <c r="V80" s="327">
        <f>IF(Calcoli!$I$76=TRUE,Calcoli!U111,0)</f>
        <v>0</v>
      </c>
      <c r="W80" s="327">
        <f>IF(Calcoli!$I$76=TRUE,Calcoli!V111,0)</f>
        <v>0</v>
      </c>
      <c r="X80" s="328">
        <f>IF(Calcoli!$I$76=TRUE,Calcoli!W111,0)</f>
        <v>0</v>
      </c>
      <c r="Y80" s="326">
        <f>IF(Calcoli!$I$76=TRUE,Calcoli!X111,0)</f>
        <v>0</v>
      </c>
      <c r="Z80" s="327">
        <f>IF(Calcoli!$I$76=TRUE,Calcoli!Y111,0)</f>
        <v>0</v>
      </c>
      <c r="AA80" s="327">
        <f>IF(Calcoli!$I$76=TRUE,Calcoli!Z111,0)</f>
        <v>0</v>
      </c>
      <c r="AB80" s="327">
        <f>IF(Calcoli!$I$76=TRUE,Calcoli!AA111,0)</f>
        <v>0</v>
      </c>
      <c r="AC80" s="328">
        <f>IF(Calcoli!$I$76=TRUE,Calcoli!AB111,0)</f>
        <v>0</v>
      </c>
    </row>
    <row r="81" spans="1:29" ht="15.75">
      <c r="A81" s="135" t="s">
        <v>117</v>
      </c>
      <c r="B81" s="136"/>
      <c r="C81" s="60"/>
      <c r="D81" s="60"/>
      <c r="E81" s="332">
        <f>IF(Calcoli!$I$78=TRUE,E79/100*$K$21,0)</f>
        <v>0</v>
      </c>
      <c r="F81" s="333">
        <f>IF(Calcoli!$I$78=TRUE,F79/100*$K$21,0)</f>
        <v>0</v>
      </c>
      <c r="G81" s="333">
        <f>IF(Calcoli!$I$78=TRUE,G79/100*$K$21,0)</f>
        <v>0</v>
      </c>
      <c r="H81" s="333">
        <f>IF(Calcoli!$I$78=TRUE,H79/100*$K$21,0)</f>
        <v>0</v>
      </c>
      <c r="I81" s="333">
        <f>IF(Calcoli!$I$78=TRUE,I79/100*$K$21,0)</f>
        <v>0</v>
      </c>
      <c r="J81" s="333">
        <f>IF(Calcoli!$I$78=TRUE,J79/100*$K$21,0)</f>
        <v>0</v>
      </c>
      <c r="K81" s="333">
        <f>IF(Calcoli!$I$78=TRUE,K79/100*$K$21,0)</f>
        <v>0</v>
      </c>
      <c r="L81" s="333">
        <f>IF(Calcoli!$I$78=TRUE,L79/100*$K$21,0)</f>
        <v>0</v>
      </c>
      <c r="M81" s="333">
        <f>IF(Calcoli!$I$78=TRUE,M79/100*$K$21,0)</f>
        <v>0</v>
      </c>
      <c r="N81" s="333">
        <f>IF(Calcoli!$I$78=TRUE,N79/100*$K$21,0)</f>
        <v>0</v>
      </c>
      <c r="O81" s="333">
        <f>IF(Calcoli!$I$78=TRUE,O79/100*$K$21,0)</f>
        <v>0</v>
      </c>
      <c r="P81" s="333">
        <f>IF(Calcoli!$I$78=TRUE,P79/100*$K$21,0)</f>
        <v>0</v>
      </c>
      <c r="Q81" s="333">
        <f>IF(Calcoli!$I$78=TRUE,Q79/100*$K$21,0)</f>
        <v>0</v>
      </c>
      <c r="R81" s="333">
        <f>IF(Calcoli!$I$78=TRUE,R79/100*$K$21,0)</f>
        <v>0</v>
      </c>
      <c r="S81" s="333">
        <f>IF(Calcoli!$I$78=TRUE,S79/100*$K$21,0)</f>
        <v>0</v>
      </c>
      <c r="T81" s="333">
        <f>IF(Calcoli!$I$78=TRUE,T79/100*$K$21,0)</f>
        <v>0</v>
      </c>
      <c r="U81" s="333">
        <f>IF(Calcoli!$I$78=TRUE,U79/100*$K$21,0)</f>
        <v>0</v>
      </c>
      <c r="V81" s="333">
        <f>IF(Calcoli!$I$78=TRUE,V79/100*$K$21,0)</f>
        <v>0</v>
      </c>
      <c r="W81" s="333">
        <f>IF(Calcoli!$I$78=TRUE,W79/100*$K$21,0)</f>
        <v>0</v>
      </c>
      <c r="X81" s="334">
        <f>IF(Calcoli!$I$78=TRUE,X79/100*$K$21,0)</f>
        <v>0</v>
      </c>
      <c r="Y81" s="332">
        <f>IF(Calcoli!$I$78=TRUE,Y79/100*$K$21,0)</f>
        <v>0</v>
      </c>
      <c r="Z81" s="333">
        <f>IF(Calcoli!$I$78=TRUE,Z79/100*$K$21,0)</f>
        <v>0</v>
      </c>
      <c r="AA81" s="333">
        <f>IF(Calcoli!$I$78=TRUE,AA79/100*$K$21,0)</f>
        <v>0</v>
      </c>
      <c r="AB81" s="333">
        <f>IF(Calcoli!$I$78=TRUE,AB79/100*$K$21,0)</f>
        <v>0</v>
      </c>
      <c r="AC81" s="334">
        <f>IF(Calcoli!$I$78=TRUE,AC79/100*$K$21,0)</f>
        <v>0</v>
      </c>
    </row>
    <row r="82" spans="1:29" ht="15.75">
      <c r="A82" s="135" t="s">
        <v>88</v>
      </c>
      <c r="B82" s="136"/>
      <c r="C82" s="60"/>
      <c r="D82" s="60"/>
      <c r="E82" s="326">
        <f>IF(Calcoli!$I$74=TRUE,E79/100*$K$19,0)</f>
        <v>0</v>
      </c>
      <c r="F82" s="327">
        <f>IF(Calcoli!$I$74=TRUE,F79/100*$K$19,0)</f>
        <v>0</v>
      </c>
      <c r="G82" s="327">
        <f>IF(Calcoli!$I$74=TRUE,G79/100*$K$19,0)</f>
        <v>0</v>
      </c>
      <c r="H82" s="327">
        <f>IF(Calcoli!$I$74=TRUE,H79/100*$K$19,0)</f>
        <v>0</v>
      </c>
      <c r="I82" s="327">
        <f>IF(Calcoli!$I$74=TRUE,I79/100*$K$19,0)</f>
        <v>0</v>
      </c>
      <c r="J82" s="327">
        <f>IF(Calcoli!$I$74=TRUE,J79/100*$K$19,0)</f>
        <v>0</v>
      </c>
      <c r="K82" s="327">
        <f>IF(Calcoli!$I$74=TRUE,K79/100*$K$19,0)</f>
        <v>0</v>
      </c>
      <c r="L82" s="327">
        <f>IF(Calcoli!$I$74=TRUE,L79/100*$K$19,0)</f>
        <v>0</v>
      </c>
      <c r="M82" s="327">
        <f>IF(Calcoli!$I$74=TRUE,M79/100*$K$19,0)</f>
        <v>0</v>
      </c>
      <c r="N82" s="327">
        <f>IF(Calcoli!$I$74=TRUE,N79/100*$K$19,0)</f>
        <v>0</v>
      </c>
      <c r="O82" s="327">
        <f>IF(Calcoli!$I$74=TRUE,O79/100*$K$19,0)</f>
        <v>0</v>
      </c>
      <c r="P82" s="327">
        <f>IF(Calcoli!$I$74=TRUE,P79/100*$K$19,0)</f>
        <v>0</v>
      </c>
      <c r="Q82" s="327">
        <f>IF(Calcoli!$I$74=TRUE,Q79/100*$K$19,0)</f>
        <v>0</v>
      </c>
      <c r="R82" s="327">
        <f>IF(Calcoli!$I$74=TRUE,R79/100*$K$19,0)</f>
        <v>0</v>
      </c>
      <c r="S82" s="327">
        <f>IF(Calcoli!$I$74=TRUE,S79/100*$K$19,0)</f>
        <v>0</v>
      </c>
      <c r="T82" s="327">
        <f>IF(Calcoli!$I$74=TRUE,T79/100*$K$19,0)</f>
        <v>0</v>
      </c>
      <c r="U82" s="327">
        <f>IF(Calcoli!$I$74=TRUE,U79/100*$K$19,0)</f>
        <v>0</v>
      </c>
      <c r="V82" s="327">
        <f>IF(Calcoli!$I$74=TRUE,V79/100*$K$19,0)</f>
        <v>0</v>
      </c>
      <c r="W82" s="327">
        <f>IF(Calcoli!$I$74=TRUE,W79/100*$K$19,0)</f>
        <v>0</v>
      </c>
      <c r="X82" s="328">
        <f>IF(Calcoli!$I$74=TRUE,X79/100*$K$19,0)</f>
        <v>0</v>
      </c>
      <c r="Y82" s="326">
        <f>IF(Calcoli!$I$74=TRUE,Y79/100*$K$19,0)</f>
        <v>0</v>
      </c>
      <c r="Z82" s="327">
        <f>IF(Calcoli!$I$74=TRUE,Z79/100*$K$19,0)</f>
        <v>0</v>
      </c>
      <c r="AA82" s="327">
        <f>IF(Calcoli!$I$74=TRUE,AA79/100*$K$19,0)</f>
        <v>0</v>
      </c>
      <c r="AB82" s="327">
        <f>IF(Calcoli!$I$74=TRUE,AB79/100*$K$19,0)</f>
        <v>0</v>
      </c>
      <c r="AC82" s="328">
        <f>IF(Calcoli!$I$74=TRUE,AC79/100*$K$19,0)</f>
        <v>0</v>
      </c>
    </row>
    <row r="83" spans="1:29" ht="15.75">
      <c r="A83" s="135" t="s">
        <v>192</v>
      </c>
      <c r="B83" s="136"/>
      <c r="C83" s="60"/>
      <c r="D83" s="60"/>
      <c r="E83" s="332">
        <f>IF(E93&lt;=$C$42,Finanziamento!J9,0)</f>
        <v>890.95032800822935</v>
      </c>
      <c r="F83" s="333">
        <f>IF(F93&lt;=$C$42,Finanziamento!K9,0)</f>
        <v>890.95032800822935</v>
      </c>
      <c r="G83" s="333">
        <f>IF(G93&lt;=$C$42,Finanziamento!L9,0)</f>
        <v>890.95032800822935</v>
      </c>
      <c r="H83" s="333">
        <f>IF(H93&lt;=$C$42,Finanziamento!M9,0)</f>
        <v>890.95032800822935</v>
      </c>
      <c r="I83" s="333">
        <f>IF(I93&lt;=$C$42,Finanziamento!N9,0)</f>
        <v>890.95032800822935</v>
      </c>
      <c r="J83" s="333">
        <f>IF(J93&lt;=$C$42,Finanziamento!O9,0)</f>
        <v>890.95032800822935</v>
      </c>
      <c r="K83" s="333">
        <f>IF(K93&lt;=$C$42,Finanziamento!P9,0)</f>
        <v>890.95032800822935</v>
      </c>
      <c r="L83" s="333">
        <f>IF(L93&lt;=$C$42,Finanziamento!Q9,0)</f>
        <v>890.95032800822935</v>
      </c>
      <c r="M83" s="333">
        <f>IF(M93&lt;=$C$42,Finanziamento!R9,0)</f>
        <v>890.95032800822935</v>
      </c>
      <c r="N83" s="333">
        <f>IF(N93&lt;=$C$42,Finanziamento!S9,0)</f>
        <v>890.95032800822935</v>
      </c>
      <c r="O83" s="333">
        <f>IF(O93&lt;=$C$42,Finanziamento!T9,0)</f>
        <v>0</v>
      </c>
      <c r="P83" s="333">
        <f>IF(P93&lt;=$C$42,Finanziamento!U9,0)</f>
        <v>0</v>
      </c>
      <c r="Q83" s="333">
        <f>IF(Q93&lt;=$C$42,Finanziamento!V9,0)</f>
        <v>0</v>
      </c>
      <c r="R83" s="333">
        <f>IF(R93&lt;=$C$42,Finanziamento!W9,0)</f>
        <v>0</v>
      </c>
      <c r="S83" s="333">
        <f>IF(S93&lt;=$C$42,Finanziamento!X9,0)</f>
        <v>0</v>
      </c>
      <c r="T83" s="333">
        <f>IF(T93&lt;=$C$42,Finanziamento!Y9,0)</f>
        <v>0</v>
      </c>
      <c r="U83" s="333">
        <f>IF(U93&lt;=$C$42,Finanziamento!Z9,0)</f>
        <v>0</v>
      </c>
      <c r="V83" s="333">
        <f>IF(V93&lt;=$C$42,Finanziamento!AA9,0)</f>
        <v>0</v>
      </c>
      <c r="W83" s="333">
        <f>IF(W93&lt;=$C$42,Finanziamento!AB9,0)</f>
        <v>0</v>
      </c>
      <c r="X83" s="334">
        <f>IF(X93&lt;=$C$42,Finanziamento!AC9,0)</f>
        <v>0</v>
      </c>
      <c r="Y83" s="332">
        <f>IF(Y93&lt;=$C$42,Finanziamento!AD9,0)</f>
        <v>0</v>
      </c>
      <c r="Z83" s="333">
        <f>IF(Z93&lt;=$C$42,Finanziamento!AE9,0)</f>
        <v>0</v>
      </c>
      <c r="AA83" s="333">
        <f>IF(AA93&lt;=$C$42,Finanziamento!AF9,0)</f>
        <v>0</v>
      </c>
      <c r="AB83" s="333">
        <f>IF(AB93&lt;=$C$42,Finanziamento!AG9,0)</f>
        <v>0</v>
      </c>
      <c r="AC83" s="334">
        <f>IF(AC93&lt;=$C$42,Finanziamento!AH9,0)</f>
        <v>0</v>
      </c>
    </row>
    <row r="84" spans="1:29" ht="15.75">
      <c r="A84" s="137" t="s">
        <v>219</v>
      </c>
      <c r="B84" s="138"/>
      <c r="C84" s="60"/>
      <c r="D84" s="60"/>
      <c r="E84" s="335">
        <f>$C$46</f>
        <v>50</v>
      </c>
      <c r="F84" s="336">
        <f t="shared" ref="F84:AC84" si="28">$C$46</f>
        <v>50</v>
      </c>
      <c r="G84" s="336">
        <f t="shared" si="28"/>
        <v>50</v>
      </c>
      <c r="H84" s="336">
        <f t="shared" si="28"/>
        <v>50</v>
      </c>
      <c r="I84" s="336">
        <f t="shared" si="28"/>
        <v>50</v>
      </c>
      <c r="J84" s="336">
        <f t="shared" si="28"/>
        <v>50</v>
      </c>
      <c r="K84" s="336">
        <f t="shared" si="28"/>
        <v>50</v>
      </c>
      <c r="L84" s="336">
        <f t="shared" si="28"/>
        <v>50</v>
      </c>
      <c r="M84" s="336">
        <f t="shared" si="28"/>
        <v>50</v>
      </c>
      <c r="N84" s="336">
        <f t="shared" si="28"/>
        <v>50</v>
      </c>
      <c r="O84" s="336">
        <f t="shared" si="28"/>
        <v>50</v>
      </c>
      <c r="P84" s="336">
        <f t="shared" si="28"/>
        <v>50</v>
      </c>
      <c r="Q84" s="336">
        <f t="shared" si="28"/>
        <v>50</v>
      </c>
      <c r="R84" s="336">
        <f t="shared" si="28"/>
        <v>50</v>
      </c>
      <c r="S84" s="336">
        <f t="shared" si="28"/>
        <v>50</v>
      </c>
      <c r="T84" s="336">
        <f t="shared" si="28"/>
        <v>50</v>
      </c>
      <c r="U84" s="336">
        <f t="shared" si="28"/>
        <v>50</v>
      </c>
      <c r="V84" s="336">
        <f t="shared" si="28"/>
        <v>50</v>
      </c>
      <c r="W84" s="336">
        <f t="shared" si="28"/>
        <v>50</v>
      </c>
      <c r="X84" s="337">
        <f t="shared" si="28"/>
        <v>50</v>
      </c>
      <c r="Y84" s="335">
        <f t="shared" si="28"/>
        <v>50</v>
      </c>
      <c r="Z84" s="336">
        <f t="shared" si="28"/>
        <v>50</v>
      </c>
      <c r="AA84" s="336">
        <f t="shared" si="28"/>
        <v>50</v>
      </c>
      <c r="AB84" s="336">
        <f t="shared" si="28"/>
        <v>50</v>
      </c>
      <c r="AC84" s="337">
        <f t="shared" si="28"/>
        <v>50</v>
      </c>
    </row>
    <row r="85" spans="1:29" ht="15.75">
      <c r="A85" s="137" t="s">
        <v>218</v>
      </c>
      <c r="B85" s="138"/>
      <c r="C85" s="60"/>
      <c r="D85" s="60"/>
      <c r="E85" s="335">
        <f>IF(Calcoli!N131=1,$C$45,0)</f>
        <v>0</v>
      </c>
      <c r="F85" s="336">
        <f>IF(Calcoli!O131=1,$C$45,0)</f>
        <v>0</v>
      </c>
      <c r="G85" s="336">
        <f>IF(Calcoli!P131=1,$C$45,0)</f>
        <v>0</v>
      </c>
      <c r="H85" s="336">
        <f>IF(Calcoli!Q131=1,$C$45,0)</f>
        <v>0</v>
      </c>
      <c r="I85" s="336">
        <f>IF(Calcoli!R131=1,$C$45,0)</f>
        <v>0</v>
      </c>
      <c r="J85" s="336">
        <f>IF(Calcoli!S131=1,$C$45,0)</f>
        <v>0</v>
      </c>
      <c r="K85" s="336">
        <f>IF(Calcoli!T131=1,$C$45,0)</f>
        <v>0</v>
      </c>
      <c r="L85" s="336">
        <f>IF(Calcoli!U131=1,$C$45,0)</f>
        <v>0</v>
      </c>
      <c r="M85" s="336">
        <f>IF(Calcoli!V131=1,$C$45,0)</f>
        <v>0</v>
      </c>
      <c r="N85" s="336">
        <f>IF(Calcoli!W131=1,$C$45,0)</f>
        <v>0</v>
      </c>
      <c r="O85" s="336">
        <f>IF(Calcoli!X131=1,$C$45,0)</f>
        <v>300</v>
      </c>
      <c r="P85" s="336">
        <f>IF(Calcoli!Y131=1,$C$45,0)</f>
        <v>0</v>
      </c>
      <c r="Q85" s="336">
        <f>IF(Calcoli!Z131=1,$C$45,0)</f>
        <v>0</v>
      </c>
      <c r="R85" s="336">
        <f>IF(Calcoli!AA131=1,$C$45,0)</f>
        <v>0</v>
      </c>
      <c r="S85" s="336">
        <f>IF(Calcoli!AB131=1,$C$45,0)</f>
        <v>0</v>
      </c>
      <c r="T85" s="336">
        <f>IF(Calcoli!AC131=1,$C$45,0)</f>
        <v>0</v>
      </c>
      <c r="U85" s="336">
        <f>IF(Calcoli!AD131=1,$C$45,0)</f>
        <v>0</v>
      </c>
      <c r="V85" s="336">
        <f>IF(Calcoli!AE131=1,$C$45,0)</f>
        <v>0</v>
      </c>
      <c r="W85" s="336">
        <f>IF(Calcoli!AF131=1,$C$45,0)</f>
        <v>0</v>
      </c>
      <c r="X85" s="337">
        <f>IF(Calcoli!AG131=1,$C$45,0)</f>
        <v>0</v>
      </c>
      <c r="Y85" s="335">
        <f>IF(Calcoli!AH131=1,$C$45,0)</f>
        <v>300</v>
      </c>
      <c r="Z85" s="336">
        <f>IF(Calcoli!AI131=1,$C$45,0)</f>
        <v>0</v>
      </c>
      <c r="AA85" s="336">
        <f>IF(Calcoli!AJ131=1,$C$45,0)</f>
        <v>0</v>
      </c>
      <c r="AB85" s="336">
        <f>IF(Calcoli!AK131=1,$C$45,0)</f>
        <v>0</v>
      </c>
      <c r="AC85" s="337">
        <f>IF(Calcoli!AL131=1,$C$45,0)</f>
        <v>0</v>
      </c>
    </row>
    <row r="86" spans="1:29" ht="15.75">
      <c r="A86" s="137" t="s">
        <v>80</v>
      </c>
      <c r="B86" s="138"/>
      <c r="C86" s="60"/>
      <c r="D86" s="60"/>
      <c r="E86" s="335">
        <f>IF(Calcoli!$D$1&lt;6,C48,0)</f>
        <v>9</v>
      </c>
      <c r="F86" s="336">
        <v>0</v>
      </c>
      <c r="G86" s="336">
        <v>0</v>
      </c>
      <c r="H86" s="336">
        <v>0</v>
      </c>
      <c r="I86" s="336">
        <v>0</v>
      </c>
      <c r="J86" s="336">
        <v>0</v>
      </c>
      <c r="K86" s="336">
        <v>0</v>
      </c>
      <c r="L86" s="336">
        <v>0</v>
      </c>
      <c r="M86" s="336">
        <v>0</v>
      </c>
      <c r="N86" s="336">
        <v>0</v>
      </c>
      <c r="O86" s="336">
        <v>0</v>
      </c>
      <c r="P86" s="336">
        <v>0</v>
      </c>
      <c r="Q86" s="336">
        <v>0</v>
      </c>
      <c r="R86" s="336">
        <v>0</v>
      </c>
      <c r="S86" s="336">
        <v>0</v>
      </c>
      <c r="T86" s="336">
        <v>0</v>
      </c>
      <c r="U86" s="336">
        <v>0</v>
      </c>
      <c r="V86" s="336">
        <v>0</v>
      </c>
      <c r="W86" s="336">
        <v>0</v>
      </c>
      <c r="X86" s="337">
        <v>0</v>
      </c>
      <c r="Y86" s="335">
        <v>0</v>
      </c>
      <c r="Z86" s="336">
        <v>0</v>
      </c>
      <c r="AA86" s="336">
        <v>0</v>
      </c>
      <c r="AB86" s="336">
        <v>0</v>
      </c>
      <c r="AC86" s="337">
        <v>0</v>
      </c>
    </row>
    <row r="87" spans="1:29" ht="15.75">
      <c r="A87" s="137" t="s">
        <v>79</v>
      </c>
      <c r="B87" s="138"/>
      <c r="C87" s="60"/>
      <c r="D87" s="60"/>
      <c r="E87" s="335">
        <f>IF(Calcoli!$D$1&lt;6,$C$49,0)</f>
        <v>1.7250000000000001</v>
      </c>
      <c r="F87" s="336">
        <f>IF(Calcoli!$D$1&lt;6,$C$49,0)</f>
        <v>1.7250000000000001</v>
      </c>
      <c r="G87" s="336">
        <f>IF(Calcoli!$D$1&lt;6,$C$49,0)</f>
        <v>1.7250000000000001</v>
      </c>
      <c r="H87" s="336">
        <f>IF(Calcoli!$D$1&lt;6,$C$49,0)</f>
        <v>1.7250000000000001</v>
      </c>
      <c r="I87" s="336">
        <f>IF(Calcoli!$D$1&lt;6,$C$49,0)</f>
        <v>1.7250000000000001</v>
      </c>
      <c r="J87" s="336">
        <f>IF(Calcoli!$D$1&lt;6,$C$49,0)</f>
        <v>1.7250000000000001</v>
      </c>
      <c r="K87" s="336">
        <f>IF(Calcoli!$D$1&lt;6,$C$49,0)</f>
        <v>1.7250000000000001</v>
      </c>
      <c r="L87" s="336">
        <f>IF(Calcoli!$D$1&lt;6,$C$49,0)</f>
        <v>1.7250000000000001</v>
      </c>
      <c r="M87" s="336">
        <f>IF(Calcoli!$D$1&lt;6,$C$49,0)</f>
        <v>1.7250000000000001</v>
      </c>
      <c r="N87" s="336">
        <f>IF(Calcoli!$D$1&lt;6,$C$49,0)</f>
        <v>1.7250000000000001</v>
      </c>
      <c r="O87" s="336">
        <f>IF(Calcoli!$D$1&lt;6,$C$49,0)</f>
        <v>1.7250000000000001</v>
      </c>
      <c r="P87" s="336">
        <f>IF(Calcoli!$D$1&lt;6,$C$49,0)</f>
        <v>1.7250000000000001</v>
      </c>
      <c r="Q87" s="336">
        <f>IF(Calcoli!$D$1&lt;6,$C$49,0)</f>
        <v>1.7250000000000001</v>
      </c>
      <c r="R87" s="336">
        <f>IF(Calcoli!$D$1&lt;6,$C$49,0)</f>
        <v>1.7250000000000001</v>
      </c>
      <c r="S87" s="336">
        <f>IF(Calcoli!$D$1&lt;6,$C$49,0)</f>
        <v>1.7250000000000001</v>
      </c>
      <c r="T87" s="336">
        <f>IF(Calcoli!$D$1&lt;6,$C$49,0)</f>
        <v>1.7250000000000001</v>
      </c>
      <c r="U87" s="336">
        <f>IF(Calcoli!$D$1&lt;6,$C$49,0)</f>
        <v>1.7250000000000001</v>
      </c>
      <c r="V87" s="336">
        <f>IF(Calcoli!$D$1&lt;6,$C$49,0)</f>
        <v>1.7250000000000001</v>
      </c>
      <c r="W87" s="336">
        <f>IF(Calcoli!$D$1&lt;6,$C$49,0)</f>
        <v>1.7250000000000001</v>
      </c>
      <c r="X87" s="337">
        <f>IF(Calcoli!$D$1&lt;6,$C$49,0)</f>
        <v>1.7250000000000001</v>
      </c>
      <c r="Y87" s="335">
        <f>IF(Calcoli!$D$1&lt;6,$C$49,0)</f>
        <v>1.7250000000000001</v>
      </c>
      <c r="Z87" s="336">
        <f>IF(Calcoli!$D$1&lt;6,$C$49,0)</f>
        <v>1.7250000000000001</v>
      </c>
      <c r="AA87" s="336">
        <f>IF(Calcoli!$D$1&lt;6,$C$49,0)</f>
        <v>1.7250000000000001</v>
      </c>
      <c r="AB87" s="336">
        <f>IF(Calcoli!$D$1&lt;6,$C$49,0)</f>
        <v>1.7250000000000001</v>
      </c>
      <c r="AC87" s="337">
        <f>IF(Calcoli!$D$1&lt;6,$C$49,0)</f>
        <v>1.7250000000000001</v>
      </c>
    </row>
    <row r="88" spans="1:29" ht="15.75">
      <c r="A88" s="137" t="s">
        <v>133</v>
      </c>
      <c r="B88" s="138"/>
      <c r="C88" s="60"/>
      <c r="D88" s="60"/>
      <c r="E88" s="335">
        <f>$C$50</f>
        <v>200</v>
      </c>
      <c r="F88" s="336">
        <v>0</v>
      </c>
      <c r="G88" s="336">
        <v>0</v>
      </c>
      <c r="H88" s="336">
        <v>0</v>
      </c>
      <c r="I88" s="336">
        <v>0</v>
      </c>
      <c r="J88" s="336">
        <v>0</v>
      </c>
      <c r="K88" s="336">
        <v>0</v>
      </c>
      <c r="L88" s="336">
        <v>0</v>
      </c>
      <c r="M88" s="336">
        <v>0</v>
      </c>
      <c r="N88" s="336">
        <v>0</v>
      </c>
      <c r="O88" s="336">
        <v>0</v>
      </c>
      <c r="P88" s="336">
        <v>0</v>
      </c>
      <c r="Q88" s="336">
        <v>0</v>
      </c>
      <c r="R88" s="336">
        <v>0</v>
      </c>
      <c r="S88" s="336">
        <v>0</v>
      </c>
      <c r="T88" s="336">
        <v>0</v>
      </c>
      <c r="U88" s="336">
        <v>0</v>
      </c>
      <c r="V88" s="336">
        <v>0</v>
      </c>
      <c r="W88" s="336">
        <v>0</v>
      </c>
      <c r="X88" s="337">
        <v>0</v>
      </c>
      <c r="Y88" s="335">
        <v>0</v>
      </c>
      <c r="Z88" s="336">
        <v>0</v>
      </c>
      <c r="AA88" s="336">
        <v>0</v>
      </c>
      <c r="AB88" s="336">
        <v>0</v>
      </c>
      <c r="AC88" s="337">
        <v>0</v>
      </c>
    </row>
    <row r="89" spans="1:29" ht="15.75">
      <c r="A89" s="137" t="s">
        <v>83</v>
      </c>
      <c r="B89" s="138"/>
      <c r="C89" s="60"/>
      <c r="D89" s="60"/>
      <c r="E89" s="335">
        <f>$C$51</f>
        <v>50</v>
      </c>
      <c r="F89" s="336">
        <v>0</v>
      </c>
      <c r="G89" s="336">
        <v>0</v>
      </c>
      <c r="H89" s="336">
        <v>0</v>
      </c>
      <c r="I89" s="336">
        <v>0</v>
      </c>
      <c r="J89" s="336">
        <v>0</v>
      </c>
      <c r="K89" s="336">
        <v>0</v>
      </c>
      <c r="L89" s="336">
        <v>0</v>
      </c>
      <c r="M89" s="336">
        <v>0</v>
      </c>
      <c r="N89" s="336">
        <v>0</v>
      </c>
      <c r="O89" s="336">
        <v>0</v>
      </c>
      <c r="P89" s="336">
        <v>0</v>
      </c>
      <c r="Q89" s="336">
        <v>0</v>
      </c>
      <c r="R89" s="336">
        <v>0</v>
      </c>
      <c r="S89" s="336">
        <v>0</v>
      </c>
      <c r="T89" s="336">
        <v>0</v>
      </c>
      <c r="U89" s="336">
        <v>0</v>
      </c>
      <c r="V89" s="336">
        <v>0</v>
      </c>
      <c r="W89" s="336">
        <v>0</v>
      </c>
      <c r="X89" s="337">
        <v>0</v>
      </c>
      <c r="Y89" s="335">
        <v>0</v>
      </c>
      <c r="Z89" s="336">
        <v>0</v>
      </c>
      <c r="AA89" s="336">
        <v>0</v>
      </c>
      <c r="AB89" s="336">
        <v>0</v>
      </c>
      <c r="AC89" s="337">
        <v>0</v>
      </c>
    </row>
    <row r="90" spans="1:29" ht="16.5" thickBot="1">
      <c r="A90" s="137" t="s">
        <v>36</v>
      </c>
      <c r="B90" s="138"/>
      <c r="C90" s="60"/>
      <c r="D90" s="60"/>
      <c r="E90" s="335">
        <f>IF(E93&lt;=$C$53,$C$52,0)</f>
        <v>50</v>
      </c>
      <c r="F90" s="336">
        <f t="shared" ref="F90:AC90" si="29">IF(F93&lt;=$C$53,$C$52,0)</f>
        <v>50</v>
      </c>
      <c r="G90" s="336">
        <f t="shared" si="29"/>
        <v>50</v>
      </c>
      <c r="H90" s="336">
        <f t="shared" si="29"/>
        <v>50</v>
      </c>
      <c r="I90" s="336">
        <f t="shared" si="29"/>
        <v>50</v>
      </c>
      <c r="J90" s="336">
        <f t="shared" si="29"/>
        <v>50</v>
      </c>
      <c r="K90" s="336">
        <f t="shared" si="29"/>
        <v>50</v>
      </c>
      <c r="L90" s="336">
        <f t="shared" si="29"/>
        <v>50</v>
      </c>
      <c r="M90" s="336">
        <f t="shared" si="29"/>
        <v>50</v>
      </c>
      <c r="N90" s="336">
        <f t="shared" si="29"/>
        <v>50</v>
      </c>
      <c r="O90" s="336">
        <f t="shared" si="29"/>
        <v>50</v>
      </c>
      <c r="P90" s="336">
        <f t="shared" si="29"/>
        <v>50</v>
      </c>
      <c r="Q90" s="336">
        <f t="shared" si="29"/>
        <v>50</v>
      </c>
      <c r="R90" s="336">
        <f t="shared" si="29"/>
        <v>50</v>
      </c>
      <c r="S90" s="336">
        <f t="shared" si="29"/>
        <v>50</v>
      </c>
      <c r="T90" s="336">
        <f t="shared" si="29"/>
        <v>50</v>
      </c>
      <c r="U90" s="336">
        <f t="shared" si="29"/>
        <v>50</v>
      </c>
      <c r="V90" s="336">
        <f t="shared" si="29"/>
        <v>50</v>
      </c>
      <c r="W90" s="336">
        <f t="shared" si="29"/>
        <v>50</v>
      </c>
      <c r="X90" s="337">
        <f t="shared" si="29"/>
        <v>50</v>
      </c>
      <c r="Y90" s="335">
        <f t="shared" si="29"/>
        <v>50</v>
      </c>
      <c r="Z90" s="336">
        <f t="shared" si="29"/>
        <v>50</v>
      </c>
      <c r="AA90" s="336">
        <f t="shared" si="29"/>
        <v>50</v>
      </c>
      <c r="AB90" s="336">
        <f t="shared" si="29"/>
        <v>50</v>
      </c>
      <c r="AC90" s="337">
        <f t="shared" si="29"/>
        <v>50</v>
      </c>
    </row>
    <row r="91" spans="1:29" ht="16.5" thickBot="1">
      <c r="A91" s="227" t="s">
        <v>197</v>
      </c>
      <c r="B91" s="228"/>
      <c r="C91" s="228"/>
      <c r="D91" s="60"/>
      <c r="E91" s="224">
        <f>SUM(E80:E90)</f>
        <v>1251.6753280082294</v>
      </c>
      <c r="F91" s="225">
        <f>SUM(F80:F90)</f>
        <v>992.67532800822937</v>
      </c>
      <c r="G91" s="225">
        <f t="shared" ref="G91:X91" si="30">SUM(G80:G90)</f>
        <v>992.67532800822937</v>
      </c>
      <c r="H91" s="225">
        <f t="shared" si="30"/>
        <v>992.67532800822937</v>
      </c>
      <c r="I91" s="225">
        <f t="shared" si="30"/>
        <v>992.67532800822937</v>
      </c>
      <c r="J91" s="225">
        <f t="shared" si="30"/>
        <v>992.67532800822937</v>
      </c>
      <c r="K91" s="225">
        <f t="shared" si="30"/>
        <v>992.67532800822937</v>
      </c>
      <c r="L91" s="225">
        <f t="shared" si="30"/>
        <v>992.67532800822937</v>
      </c>
      <c r="M91" s="225">
        <f t="shared" si="30"/>
        <v>992.67532800822937</v>
      </c>
      <c r="N91" s="225">
        <f t="shared" si="30"/>
        <v>992.67532800822937</v>
      </c>
      <c r="O91" s="225">
        <f t="shared" si="30"/>
        <v>401.72500000000002</v>
      </c>
      <c r="P91" s="225">
        <f t="shared" si="30"/>
        <v>101.72499999999999</v>
      </c>
      <c r="Q91" s="225">
        <f t="shared" si="30"/>
        <v>101.72499999999999</v>
      </c>
      <c r="R91" s="225">
        <f t="shared" si="30"/>
        <v>101.72499999999999</v>
      </c>
      <c r="S91" s="225">
        <f t="shared" si="30"/>
        <v>101.72499999999999</v>
      </c>
      <c r="T91" s="225">
        <f t="shared" si="30"/>
        <v>101.72499999999999</v>
      </c>
      <c r="U91" s="225">
        <f t="shared" si="30"/>
        <v>101.72499999999999</v>
      </c>
      <c r="V91" s="225">
        <f t="shared" si="30"/>
        <v>101.72499999999999</v>
      </c>
      <c r="W91" s="225">
        <f t="shared" si="30"/>
        <v>101.72499999999999</v>
      </c>
      <c r="X91" s="226">
        <f t="shared" si="30"/>
        <v>101.72499999999999</v>
      </c>
      <c r="Y91" s="341">
        <f t="shared" ref="Y91:AC91" si="31">SUM(Y80:Y90)</f>
        <v>401.72500000000002</v>
      </c>
      <c r="Z91" s="226">
        <f t="shared" si="31"/>
        <v>101.72499999999999</v>
      </c>
      <c r="AA91" s="226">
        <f t="shared" si="31"/>
        <v>101.72499999999999</v>
      </c>
      <c r="AB91" s="226">
        <f t="shared" si="31"/>
        <v>101.72499999999999</v>
      </c>
      <c r="AC91" s="226">
        <f t="shared" si="31"/>
        <v>101.72499999999999</v>
      </c>
    </row>
    <row r="92" spans="1:29" ht="11.25" customHeight="1">
      <c r="A92" s="50"/>
      <c r="B92" s="60"/>
      <c r="C92" s="60"/>
      <c r="D92" s="60"/>
      <c r="E92" s="326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  <c r="X92" s="328"/>
      <c r="Y92" s="326"/>
      <c r="Z92" s="327"/>
      <c r="AA92" s="327"/>
      <c r="AB92" s="327"/>
      <c r="AC92" s="328"/>
    </row>
    <row r="93" spans="1:29" ht="16.5" thickBot="1">
      <c r="A93" s="62" t="s">
        <v>93</v>
      </c>
      <c r="B93" s="60"/>
      <c r="C93" s="60"/>
      <c r="D93" s="60"/>
      <c r="E93" s="338">
        <v>1</v>
      </c>
      <c r="F93" s="339">
        <v>2</v>
      </c>
      <c r="G93" s="339">
        <v>3</v>
      </c>
      <c r="H93" s="339">
        <v>4</v>
      </c>
      <c r="I93" s="339">
        <v>5</v>
      </c>
      <c r="J93" s="339">
        <v>6</v>
      </c>
      <c r="K93" s="339">
        <v>7</v>
      </c>
      <c r="L93" s="339">
        <v>8</v>
      </c>
      <c r="M93" s="339">
        <v>9</v>
      </c>
      <c r="N93" s="339">
        <v>10</v>
      </c>
      <c r="O93" s="339">
        <v>11</v>
      </c>
      <c r="P93" s="339">
        <v>12</v>
      </c>
      <c r="Q93" s="339">
        <v>13</v>
      </c>
      <c r="R93" s="339">
        <v>14</v>
      </c>
      <c r="S93" s="339">
        <v>15</v>
      </c>
      <c r="T93" s="339">
        <v>16</v>
      </c>
      <c r="U93" s="339">
        <v>17</v>
      </c>
      <c r="V93" s="339">
        <v>18</v>
      </c>
      <c r="W93" s="339">
        <v>19</v>
      </c>
      <c r="X93" s="340">
        <v>20</v>
      </c>
      <c r="Y93" s="338">
        <v>21</v>
      </c>
      <c r="Z93" s="339">
        <v>22</v>
      </c>
      <c r="AA93" s="339">
        <v>23</v>
      </c>
      <c r="AB93" s="339">
        <v>24</v>
      </c>
      <c r="AC93" s="340">
        <v>25</v>
      </c>
    </row>
    <row r="94" spans="1:29" ht="16.5" thickBot="1">
      <c r="A94" s="62" t="s">
        <v>147</v>
      </c>
      <c r="B94" s="60"/>
      <c r="C94" s="60"/>
      <c r="D94" s="60"/>
      <c r="E94" s="63">
        <f>IF(Finanziamento!I4=2,((-(C3*C37))+E76-E91),((-(C3*C37))+C41+E76-E91))</f>
        <v>-242.57532800822935</v>
      </c>
      <c r="F94" s="63">
        <f t="shared" ref="F94:AC94" si="32">E94+F76-F91</f>
        <v>-322.7475560164587</v>
      </c>
      <c r="G94" s="63">
        <f t="shared" si="32"/>
        <v>-398.79590917468829</v>
      </c>
      <c r="H94" s="63">
        <f t="shared" si="32"/>
        <v>-469.96212410839291</v>
      </c>
      <c r="I94" s="63">
        <f t="shared" si="32"/>
        <v>-535.44829443269498</v>
      </c>
      <c r="J94" s="63">
        <f t="shared" si="32"/>
        <v>-594.41459601010502</v>
      </c>
      <c r="K94" s="63">
        <f t="shared" si="32"/>
        <v>-645.97688523883335</v>
      </c>
      <c r="L94" s="63">
        <f t="shared" si="32"/>
        <v>-689.20416328455258</v>
      </c>
      <c r="M94" s="63">
        <f t="shared" si="32"/>
        <v>-723.1158987735281</v>
      </c>
      <c r="N94" s="63">
        <f t="shared" si="32"/>
        <v>-746.67920104806274</v>
      </c>
      <c r="O94" s="63">
        <f t="shared" si="32"/>
        <v>-167.85550763677452</v>
      </c>
      <c r="P94" s="63">
        <f t="shared" si="32"/>
        <v>723.55158282312107</v>
      </c>
      <c r="Q94" s="63">
        <f t="shared" si="32"/>
        <v>1621.5971193195555</v>
      </c>
      <c r="R94" s="63">
        <f t="shared" si="32"/>
        <v>2525.2453428920967</v>
      </c>
      <c r="S94" s="63">
        <f t="shared" si="32"/>
        <v>3434.8208463306792</v>
      </c>
      <c r="T94" s="63">
        <f t="shared" si="32"/>
        <v>4350.6549334010942</v>
      </c>
      <c r="U94" s="63">
        <f t="shared" si="32"/>
        <v>5273.0858058521171</v>
      </c>
      <c r="V94" s="63">
        <f t="shared" si="32"/>
        <v>6202.4587550941851</v>
      </c>
      <c r="W94" s="63">
        <f t="shared" si="32"/>
        <v>7139.1263586708128</v>
      </c>
      <c r="X94" s="63">
        <f t="shared" si="32"/>
        <v>8083.4486816470089</v>
      </c>
      <c r="Y94" s="63">
        <f t="shared" si="32"/>
        <v>8197.3578524225049</v>
      </c>
      <c r="Z94" s="63">
        <f t="shared" si="32"/>
        <v>8624.5110868743704</v>
      </c>
      <c r="AA94" s="63">
        <f t="shared" si="32"/>
        <v>9065.2485587781321</v>
      </c>
      <c r="AB94" s="63">
        <f t="shared" si="32"/>
        <v>9519.9191792727415</v>
      </c>
      <c r="AC94" s="63">
        <f t="shared" si="32"/>
        <v>9988.8808212797539</v>
      </c>
    </row>
    <row r="95" spans="1:29" ht="15.75" thickBot="1"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</row>
    <row r="96" spans="1:29" ht="15.75" thickBot="1">
      <c r="A96" s="229"/>
      <c r="B96" s="64" t="s">
        <v>231</v>
      </c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</row>
    <row r="97" spans="1:5" ht="15.75" thickBot="1">
      <c r="A97" s="126"/>
      <c r="B97" s="64" t="s">
        <v>144</v>
      </c>
      <c r="E97" s="221"/>
    </row>
    <row r="98" spans="1:5" ht="15.75" thickBot="1">
      <c r="A98" s="129"/>
      <c r="B98" s="64" t="s">
        <v>145</v>
      </c>
    </row>
    <row r="99" spans="1:5" ht="15.75" thickBot="1">
      <c r="A99" s="127"/>
      <c r="B99" s="64" t="s">
        <v>142</v>
      </c>
    </row>
    <row r="100" spans="1:5" ht="15.75" thickBot="1">
      <c r="A100" s="130"/>
      <c r="B100" s="64" t="s">
        <v>143</v>
      </c>
    </row>
    <row r="101" spans="1:5">
      <c r="A101" s="2"/>
      <c r="B101" s="128"/>
    </row>
  </sheetData>
  <sheetProtection formatColumns="0"/>
  <mergeCells count="28">
    <mergeCell ref="I41:J41"/>
    <mergeCell ref="F29:J29"/>
    <mergeCell ref="Q8:U8"/>
    <mergeCell ref="Q9:U9"/>
    <mergeCell ref="Q10:V10"/>
    <mergeCell ref="Q11:V11"/>
    <mergeCell ref="Q12:V12"/>
    <mergeCell ref="Q13:V13"/>
    <mergeCell ref="Q14:V14"/>
    <mergeCell ref="Q15:V15"/>
    <mergeCell ref="Q16:V16"/>
    <mergeCell ref="Q17:V17"/>
    <mergeCell ref="E51:J51"/>
    <mergeCell ref="I42:J42"/>
    <mergeCell ref="A1:G1"/>
    <mergeCell ref="I48:J48"/>
    <mergeCell ref="H46:I46"/>
    <mergeCell ref="A15:C15"/>
    <mergeCell ref="A18:C18"/>
    <mergeCell ref="A7:C7"/>
    <mergeCell ref="A9:C9"/>
    <mergeCell ref="A13:C13"/>
    <mergeCell ref="H24:O25"/>
    <mergeCell ref="I36:J36"/>
    <mergeCell ref="I37:J37"/>
    <mergeCell ref="I35:J35"/>
    <mergeCell ref="F43:J43"/>
    <mergeCell ref="I47:J47"/>
  </mergeCells>
  <conditionalFormatting sqref="E94:AC94">
    <cfRule type="cellIs" dxfId="43" priority="169" operator="greaterThan">
      <formula>0</formula>
    </cfRule>
    <cfRule type="cellIs" dxfId="42" priority="170" operator="lessThan">
      <formula>0</formula>
    </cfRule>
    <cfRule type="cellIs" dxfId="41" priority="186" operator="lessThan">
      <formula>0</formula>
    </cfRule>
    <cfRule type="cellIs" dxfId="40" priority="187" operator="greaterThan">
      <formula>0</formula>
    </cfRule>
    <cfRule type="cellIs" dxfId="39" priority="188" operator="greaterThan">
      <formula>0</formula>
    </cfRule>
  </conditionalFormatting>
  <conditionalFormatting sqref="Y79:AC80 F83:AC83 E78:X83">
    <cfRule type="cellIs" dxfId="38" priority="171" operator="equal">
      <formula>0</formula>
    </cfRule>
    <cfRule type="cellIs" dxfId="37" priority="172" operator="equal">
      <formula>0</formula>
    </cfRule>
    <cfRule type="cellIs" dxfId="36" priority="173" operator="equal">
      <formula>0</formula>
    </cfRule>
    <cfRule type="cellIs" dxfId="35" priority="174" operator="equal">
      <formula>0</formula>
    </cfRule>
    <cfRule type="cellIs" dxfId="34" priority="175" operator="greaterThan">
      <formula>0</formula>
    </cfRule>
    <cfRule type="cellIs" dxfId="33" priority="176" operator="equal">
      <formula>0</formula>
    </cfRule>
    <cfRule type="cellIs" dxfId="32" priority="177" operator="greaterThan">
      <formula>0</formula>
    </cfRule>
    <cfRule type="cellIs" dxfId="31" priority="178" operator="greaterThan">
      <formula>0</formula>
    </cfRule>
    <cfRule type="cellIs" dxfId="30" priority="179" operator="equal">
      <formula>0</formula>
    </cfRule>
    <cfRule type="cellIs" dxfId="29" priority="180" operator="lessThan">
      <formula>0</formula>
    </cfRule>
    <cfRule type="cellIs" dxfId="28" priority="183" operator="lessThan">
      <formula>0</formula>
    </cfRule>
    <cfRule type="cellIs" dxfId="27" priority="184" operator="equal">
      <formula>0</formula>
    </cfRule>
    <cfRule type="cellIs" dxfId="26" priority="185" operator="greaterThan">
      <formula>0</formula>
    </cfRule>
  </conditionalFormatting>
  <conditionalFormatting sqref="E78:AC78">
    <cfRule type="cellIs" dxfId="25" priority="181" operator="equal">
      <formula>0</formula>
    </cfRule>
    <cfRule type="cellIs" dxfId="24" priority="182" operator="lessThan">
      <formula>0</formula>
    </cfRule>
  </conditionalFormatting>
  <conditionalFormatting sqref="Y78:AC83">
    <cfRule type="cellIs" dxfId="23" priority="148" operator="equal">
      <formula>0</formula>
    </cfRule>
    <cfRule type="cellIs" dxfId="22" priority="151" operator="equal">
      <formula>0</formula>
    </cfRule>
    <cfRule type="cellIs" dxfId="21" priority="152" operator="equal">
      <formula>0</formula>
    </cfRule>
    <cfRule type="cellIs" dxfId="20" priority="153" operator="equal">
      <formula>0</formula>
    </cfRule>
    <cfRule type="cellIs" dxfId="19" priority="154" operator="equal">
      <formula>0</formula>
    </cfRule>
    <cfRule type="cellIs" dxfId="18" priority="155" operator="greaterThan">
      <formula>0</formula>
    </cfRule>
    <cfRule type="cellIs" dxfId="17" priority="156" operator="equal">
      <formula>0</formula>
    </cfRule>
    <cfRule type="cellIs" dxfId="16" priority="157" operator="greaterThan">
      <formula>0</formula>
    </cfRule>
    <cfRule type="cellIs" dxfId="15" priority="158" operator="greaterThan">
      <formula>0</formula>
    </cfRule>
    <cfRule type="cellIs" dxfId="14" priority="159" operator="equal">
      <formula>0</formula>
    </cfRule>
    <cfRule type="cellIs" dxfId="13" priority="160" operator="lessThan">
      <formula>0</formula>
    </cfRule>
    <cfRule type="cellIs" dxfId="12" priority="161" operator="lessThan">
      <formula>0</formula>
    </cfRule>
    <cfRule type="cellIs" dxfId="11" priority="162" operator="equal">
      <formula>0</formula>
    </cfRule>
    <cfRule type="cellIs" dxfId="10" priority="163" operator="greaterThan">
      <formula>0</formula>
    </cfRule>
  </conditionalFormatting>
  <conditionalFormatting sqref="E70:AC75">
    <cfRule type="cellIs" dxfId="9" priority="134" operator="equal">
      <formula>0</formula>
    </cfRule>
  </conditionalFormatting>
  <conditionalFormatting sqref="E84:AC90">
    <cfRule type="cellIs" dxfId="8" priority="2" operator="equal">
      <formula>0</formula>
    </cfRule>
    <cfRule type="cellIs" dxfId="7" priority="3" operator="greaterThan">
      <formula>0</formula>
    </cfRule>
  </conditionalFormatting>
  <conditionalFormatting sqref="E66:AC67">
    <cfRule type="cellIs" dxfId="6" priority="1" operator="equal">
      <formula>0</formula>
    </cfRule>
  </conditionalFormatting>
  <hyperlinks>
    <hyperlink ref="F29" r:id="rId1"/>
    <hyperlink ref="Q10:V10" r:id="rId2" display="Orientamento ottimale dei moduli, gli inseguitori"/>
    <hyperlink ref="Q11:V11" r:id="rId3" display="Migliorare le prestazioni di un impianto "/>
    <hyperlink ref="Q12:V12" r:id="rId4" display="Confrontare le tariffe energetiche"/>
    <hyperlink ref="Q8:U8" r:id="rId5" display="La produttività degli impianti fotovoltaici"/>
    <hyperlink ref="Q13:V13" r:id="rId6" display="Calcolare il rendimento di un pannello fotovoltaico"/>
    <hyperlink ref="Q9:U9" r:id="rId7" display="Il calore fa male ai pannelli fotovoltaici"/>
    <hyperlink ref="F43:J43" location="Finanziamento!A1" display="Clicca per dettagli finanziamento"/>
  </hyperlinks>
  <pageMargins left="0.70866141732283472" right="0.70866141732283472" top="0.74803149606299213" bottom="0.74803149606299213" header="0.31496062992125984" footer="0.31496062992125984"/>
  <pageSetup paperSize="8" scale="58" orientation="landscape" r:id="rId8"/>
  <ignoredErrors>
    <ignoredError sqref="C48:C49" unlockedFormula="1"/>
  </ignoredErrors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60"/>
  <sheetViews>
    <sheetView workbookViewId="0">
      <selection activeCell="AJ1" sqref="AJ1:AX1048576"/>
    </sheetView>
  </sheetViews>
  <sheetFormatPr defaultRowHeight="15"/>
  <cols>
    <col min="1" max="1" width="4.85546875" customWidth="1"/>
    <col min="2" max="2" width="2.7109375" customWidth="1"/>
    <col min="3" max="3" width="11.7109375" customWidth="1"/>
    <col min="4" max="4" width="14.7109375" customWidth="1"/>
    <col min="5" max="5" width="20.7109375" customWidth="1"/>
    <col min="6" max="7" width="9.140625" customWidth="1"/>
    <col min="8" max="8" width="16" customWidth="1"/>
    <col min="9" max="9" width="0" hidden="1" customWidth="1"/>
    <col min="10" max="10" width="11" hidden="1" customWidth="1"/>
    <col min="11" max="35" width="0" hidden="1" customWidth="1"/>
  </cols>
  <sheetData>
    <row r="1" spans="1:34" ht="21">
      <c r="A1" s="175"/>
      <c r="B1" s="176"/>
      <c r="C1" s="298" t="s">
        <v>199</v>
      </c>
      <c r="D1" s="298"/>
      <c r="E1" s="298"/>
      <c r="F1" s="298"/>
      <c r="G1" s="298"/>
      <c r="H1" s="298"/>
    </row>
    <row r="2" spans="1:34" ht="16.5">
      <c r="A2" s="177"/>
      <c r="B2" s="178"/>
      <c r="C2" s="179"/>
      <c r="D2" s="179"/>
      <c r="E2" s="179"/>
      <c r="F2" s="179"/>
      <c r="G2" s="179"/>
      <c r="H2" s="179"/>
      <c r="I2" t="s">
        <v>216</v>
      </c>
    </row>
    <row r="3" spans="1:34" ht="16.5">
      <c r="A3" s="177"/>
      <c r="B3" s="180"/>
      <c r="C3" s="181"/>
      <c r="D3" s="180"/>
      <c r="E3" s="182" t="s">
        <v>200</v>
      </c>
      <c r="F3" s="180"/>
      <c r="G3" s="180"/>
      <c r="H3" s="180"/>
      <c r="I3" t="s">
        <v>92</v>
      </c>
    </row>
    <row r="4" spans="1:34" ht="16.5">
      <c r="A4" s="177"/>
      <c r="B4" s="180"/>
      <c r="C4" s="181" t="s">
        <v>201</v>
      </c>
      <c r="D4" s="180"/>
      <c r="E4" s="183">
        <f>'Simulazione 7.2'!C41</f>
        <v>7000</v>
      </c>
      <c r="F4" s="184"/>
      <c r="G4" s="180"/>
      <c r="H4" s="180"/>
      <c r="I4" s="218">
        <v>1</v>
      </c>
    </row>
    <row r="5" spans="1:34" ht="16.5">
      <c r="A5" s="177"/>
      <c r="B5" s="180"/>
      <c r="C5" s="181" t="s">
        <v>202</v>
      </c>
      <c r="D5" s="181"/>
      <c r="E5" s="185">
        <f>'Simulazione 7.2'!C43/100</f>
        <v>0.05</v>
      </c>
      <c r="F5" s="180"/>
      <c r="G5" s="180"/>
      <c r="H5" s="180"/>
    </row>
    <row r="6" spans="1:34" ht="16.5">
      <c r="A6" s="177"/>
      <c r="B6" s="180"/>
      <c r="C6" s="181" t="s">
        <v>203</v>
      </c>
      <c r="D6" s="181"/>
      <c r="E6" s="186">
        <f>'Simulazione 7.2'!C42</f>
        <v>10</v>
      </c>
      <c r="F6" s="180"/>
      <c r="G6" s="180"/>
      <c r="H6" s="180"/>
      <c r="I6" t="s">
        <v>217</v>
      </c>
      <c r="J6" s="219">
        <f>SUM(E16:E27)</f>
        <v>890.95032800822935</v>
      </c>
    </row>
    <row r="7" spans="1:34" ht="16.5">
      <c r="A7" s="177"/>
      <c r="B7" s="180"/>
      <c r="C7" s="181" t="s">
        <v>204</v>
      </c>
      <c r="D7" s="181"/>
      <c r="E7" s="187">
        <v>42005</v>
      </c>
      <c r="F7" s="180"/>
      <c r="G7" s="180"/>
      <c r="H7" s="180"/>
    </row>
    <row r="8" spans="1:34" ht="16.5">
      <c r="A8" s="177"/>
      <c r="B8" s="180"/>
      <c r="C8" s="181"/>
      <c r="D8" s="180"/>
      <c r="E8" s="188"/>
      <c r="F8" s="180"/>
      <c r="G8" s="180"/>
      <c r="H8" s="180"/>
      <c r="J8">
        <v>1</v>
      </c>
      <c r="K8">
        <v>2</v>
      </c>
      <c r="L8">
        <v>3</v>
      </c>
      <c r="M8">
        <v>4</v>
      </c>
      <c r="N8">
        <v>5</v>
      </c>
      <c r="O8">
        <v>6</v>
      </c>
      <c r="P8">
        <v>7</v>
      </c>
      <c r="Q8">
        <v>8</v>
      </c>
      <c r="R8">
        <v>9</v>
      </c>
      <c r="S8">
        <v>10</v>
      </c>
      <c r="T8">
        <v>11</v>
      </c>
      <c r="U8">
        <v>12</v>
      </c>
      <c r="V8">
        <v>13</v>
      </c>
      <c r="W8">
        <v>14</v>
      </c>
      <c r="X8">
        <v>15</v>
      </c>
      <c r="Y8">
        <v>16</v>
      </c>
      <c r="Z8">
        <v>17</v>
      </c>
      <c r="AA8">
        <v>18</v>
      </c>
      <c r="AB8">
        <v>19</v>
      </c>
      <c r="AC8">
        <v>20</v>
      </c>
      <c r="AD8">
        <v>21</v>
      </c>
      <c r="AE8">
        <v>22</v>
      </c>
      <c r="AF8">
        <v>23</v>
      </c>
      <c r="AG8">
        <v>24</v>
      </c>
      <c r="AH8">
        <v>25</v>
      </c>
    </row>
    <row r="9" spans="1:34" ht="16.5">
      <c r="A9" s="177"/>
      <c r="B9" s="180"/>
      <c r="C9" s="181" t="s">
        <v>205</v>
      </c>
      <c r="D9" s="181"/>
      <c r="E9" s="189">
        <f>IF(Values_Entered,Monthly_Payment,"")</f>
        <v>74.24586066735246</v>
      </c>
      <c r="F9" s="184"/>
      <c r="G9" s="180"/>
      <c r="H9" s="180"/>
      <c r="J9">
        <f>IF($I$4=2,0,$J$6)</f>
        <v>890.95032800822935</v>
      </c>
      <c r="K9">
        <f t="shared" ref="K9:AH9" si="0">IF($I$4=2,0,$J$6)</f>
        <v>890.95032800822935</v>
      </c>
      <c r="L9">
        <f t="shared" si="0"/>
        <v>890.95032800822935</v>
      </c>
      <c r="M9">
        <f t="shared" si="0"/>
        <v>890.95032800822935</v>
      </c>
      <c r="N9">
        <f t="shared" si="0"/>
        <v>890.95032800822935</v>
      </c>
      <c r="O9">
        <f t="shared" si="0"/>
        <v>890.95032800822935</v>
      </c>
      <c r="P9">
        <f t="shared" si="0"/>
        <v>890.95032800822935</v>
      </c>
      <c r="Q9">
        <f t="shared" si="0"/>
        <v>890.95032800822935</v>
      </c>
      <c r="R9">
        <f t="shared" si="0"/>
        <v>890.95032800822935</v>
      </c>
      <c r="S9">
        <f t="shared" si="0"/>
        <v>890.95032800822935</v>
      </c>
      <c r="T9">
        <f t="shared" si="0"/>
        <v>890.95032800822935</v>
      </c>
      <c r="U9">
        <f t="shared" si="0"/>
        <v>890.95032800822935</v>
      </c>
      <c r="V9">
        <f t="shared" si="0"/>
        <v>890.95032800822935</v>
      </c>
      <c r="W9">
        <f t="shared" si="0"/>
        <v>890.95032800822935</v>
      </c>
      <c r="X9">
        <f t="shared" si="0"/>
        <v>890.95032800822935</v>
      </c>
      <c r="Y9">
        <f t="shared" si="0"/>
        <v>890.95032800822935</v>
      </c>
      <c r="Z9">
        <f t="shared" si="0"/>
        <v>890.95032800822935</v>
      </c>
      <c r="AA9">
        <f t="shared" si="0"/>
        <v>890.95032800822935</v>
      </c>
      <c r="AB9">
        <f t="shared" si="0"/>
        <v>890.95032800822935</v>
      </c>
      <c r="AC9">
        <f t="shared" si="0"/>
        <v>890.95032800822935</v>
      </c>
      <c r="AD9">
        <f t="shared" si="0"/>
        <v>890.95032800822935</v>
      </c>
      <c r="AE9">
        <f t="shared" si="0"/>
        <v>890.95032800822935</v>
      </c>
      <c r="AF9">
        <f t="shared" si="0"/>
        <v>890.95032800822935</v>
      </c>
      <c r="AG9">
        <f t="shared" si="0"/>
        <v>890.95032800822935</v>
      </c>
      <c r="AH9">
        <f t="shared" si="0"/>
        <v>890.95032800822935</v>
      </c>
    </row>
    <row r="10" spans="1:34" ht="16.5">
      <c r="A10" s="177"/>
      <c r="B10" s="180"/>
      <c r="C10" s="181" t="s">
        <v>206</v>
      </c>
      <c r="D10" s="181"/>
      <c r="E10" s="190">
        <f>IF(Values_Entered,Loan_Years*12,"")</f>
        <v>120</v>
      </c>
      <c r="F10" s="180"/>
      <c r="G10" s="180"/>
      <c r="H10" s="180"/>
    </row>
    <row r="11" spans="1:34" ht="16.5">
      <c r="A11" s="177"/>
      <c r="B11" s="180"/>
      <c r="C11" s="181" t="s">
        <v>207</v>
      </c>
      <c r="D11" s="180"/>
      <c r="E11" s="191">
        <f>IF(Values_Entered,Total_Cost-Loan_Amount,"")</f>
        <v>1909.5032800822955</v>
      </c>
      <c r="F11" s="180"/>
      <c r="G11" s="180"/>
      <c r="H11" s="180"/>
    </row>
    <row r="12" spans="1:34" ht="16.5">
      <c r="A12" s="177"/>
      <c r="B12" s="180"/>
      <c r="C12" s="181" t="s">
        <v>208</v>
      </c>
      <c r="D12" s="181"/>
      <c r="E12" s="191">
        <f>IF(Values_Entered,Monthly_Payment*Number_of_Payments,"")</f>
        <v>8909.5032800822955</v>
      </c>
      <c r="F12" s="180"/>
      <c r="G12" s="180"/>
      <c r="H12" s="180"/>
    </row>
    <row r="13" spans="1:34" ht="16.5">
      <c r="A13" s="177"/>
      <c r="B13" s="180"/>
      <c r="C13" s="181"/>
      <c r="D13" s="180"/>
      <c r="E13" s="188"/>
      <c r="F13" s="180"/>
      <c r="G13" s="180"/>
      <c r="H13" s="180"/>
    </row>
    <row r="14" spans="1:34" ht="16.5">
      <c r="A14" s="177"/>
      <c r="B14" s="180"/>
      <c r="C14" s="181"/>
      <c r="D14" s="180"/>
      <c r="E14" s="188"/>
      <c r="F14" s="180"/>
      <c r="G14" s="180"/>
      <c r="H14" s="180"/>
    </row>
    <row r="15" spans="1:34" ht="30">
      <c r="A15" s="192"/>
      <c r="B15" s="193" t="s">
        <v>209</v>
      </c>
      <c r="C15" s="194" t="s">
        <v>210</v>
      </c>
      <c r="D15" s="195" t="s">
        <v>211</v>
      </c>
      <c r="E15" s="195" t="s">
        <v>212</v>
      </c>
      <c r="F15" s="195" t="s">
        <v>213</v>
      </c>
      <c r="G15" s="195" t="s">
        <v>214</v>
      </c>
      <c r="H15" s="194" t="s">
        <v>215</v>
      </c>
    </row>
    <row r="16" spans="1:34" ht="16.5">
      <c r="A16" s="192"/>
      <c r="B16" s="196">
        <f t="shared" ref="B16:B79" si="1">IF(Loan_Not_Paid*Values_Entered,Payment_Number,"")</f>
        <v>1</v>
      </c>
      <c r="C16" s="197">
        <f t="shared" ref="C16:C79" si="2">IF(Loan_Not_Paid*Values_Entered,Payment_Date,"")</f>
        <v>42036</v>
      </c>
      <c r="D16" s="198">
        <f t="shared" ref="D16:D79" si="3">IF(Loan_Not_Paid*Values_Entered,Beginning_Balance,"")</f>
        <v>7000</v>
      </c>
      <c r="E16" s="198">
        <f t="shared" ref="E16:E79" si="4">IF(Loan_Not_Paid*Values_Entered,Monthly_Payment,"")</f>
        <v>74.24586066735246</v>
      </c>
      <c r="F16" s="198">
        <f t="shared" ref="F16:F79" si="5">IF(Loan_Not_Paid*Values_Entered,Principal,"")</f>
        <v>45.079194000685789</v>
      </c>
      <c r="G16" s="198">
        <f t="shared" ref="G16:G79" si="6">IF(Loan_Not_Paid*Values_Entered,Interest,"")</f>
        <v>29.166666666666668</v>
      </c>
      <c r="H16" s="198">
        <f t="shared" ref="H16:H79" si="7">IF(Loan_Not_Paid*Values_Entered,Ending_Balance,"")</f>
        <v>6954.9208059993143</v>
      </c>
    </row>
    <row r="17" spans="1:8" ht="16.5">
      <c r="A17" s="192"/>
      <c r="B17" s="196">
        <f t="shared" si="1"/>
        <v>2</v>
      </c>
      <c r="C17" s="197">
        <f t="shared" si="2"/>
        <v>42064</v>
      </c>
      <c r="D17" s="198">
        <f t="shared" si="3"/>
        <v>6954.9208059993143</v>
      </c>
      <c r="E17" s="198">
        <f t="shared" si="4"/>
        <v>74.24586066735246</v>
      </c>
      <c r="F17" s="198">
        <f t="shared" si="5"/>
        <v>45.267023975688652</v>
      </c>
      <c r="G17" s="198">
        <f t="shared" si="6"/>
        <v>28.978836691663808</v>
      </c>
      <c r="H17" s="198">
        <f t="shared" si="7"/>
        <v>6909.6537820236254</v>
      </c>
    </row>
    <row r="18" spans="1:8" ht="16.5">
      <c r="A18" s="192"/>
      <c r="B18" s="196">
        <f t="shared" si="1"/>
        <v>3</v>
      </c>
      <c r="C18" s="197">
        <f t="shared" si="2"/>
        <v>42095</v>
      </c>
      <c r="D18" s="198">
        <f t="shared" si="3"/>
        <v>6909.6537820236254</v>
      </c>
      <c r="E18" s="198">
        <f t="shared" si="4"/>
        <v>74.24586066735246</v>
      </c>
      <c r="F18" s="198">
        <f t="shared" si="5"/>
        <v>45.455636575587356</v>
      </c>
      <c r="G18" s="198">
        <f t="shared" si="6"/>
        <v>28.790224091765104</v>
      </c>
      <c r="H18" s="198">
        <f t="shared" si="7"/>
        <v>6864.1981454480365</v>
      </c>
    </row>
    <row r="19" spans="1:8" ht="16.5">
      <c r="A19" s="192"/>
      <c r="B19" s="196">
        <f t="shared" si="1"/>
        <v>4</v>
      </c>
      <c r="C19" s="197">
        <f t="shared" si="2"/>
        <v>42125</v>
      </c>
      <c r="D19" s="198">
        <f t="shared" si="3"/>
        <v>6864.1981454480365</v>
      </c>
      <c r="E19" s="198">
        <f t="shared" si="4"/>
        <v>74.24586066735246</v>
      </c>
      <c r="F19" s="198">
        <f t="shared" si="5"/>
        <v>45.645035061318978</v>
      </c>
      <c r="G19" s="198">
        <f t="shared" si="6"/>
        <v>28.600825606033485</v>
      </c>
      <c r="H19" s="198">
        <f t="shared" si="7"/>
        <v>6818.5531103867188</v>
      </c>
    </row>
    <row r="20" spans="1:8" ht="16.5">
      <c r="A20" s="192"/>
      <c r="B20" s="196">
        <f t="shared" si="1"/>
        <v>5</v>
      </c>
      <c r="C20" s="197">
        <f t="shared" si="2"/>
        <v>42156</v>
      </c>
      <c r="D20" s="198">
        <f t="shared" si="3"/>
        <v>6818.5531103867188</v>
      </c>
      <c r="E20" s="198">
        <f t="shared" si="4"/>
        <v>74.24586066735246</v>
      </c>
      <c r="F20" s="198">
        <f t="shared" si="5"/>
        <v>45.835222707407794</v>
      </c>
      <c r="G20" s="198">
        <f t="shared" si="6"/>
        <v>28.410637959944662</v>
      </c>
      <c r="H20" s="198">
        <f t="shared" si="7"/>
        <v>6772.7178876793114</v>
      </c>
    </row>
    <row r="21" spans="1:8" ht="16.5">
      <c r="A21" s="192"/>
      <c r="B21" s="196">
        <f t="shared" si="1"/>
        <v>6</v>
      </c>
      <c r="C21" s="197">
        <f t="shared" si="2"/>
        <v>42186</v>
      </c>
      <c r="D21" s="198">
        <f t="shared" si="3"/>
        <v>6772.7178876793114</v>
      </c>
      <c r="E21" s="198">
        <f t="shared" si="4"/>
        <v>74.24586066735246</v>
      </c>
      <c r="F21" s="198">
        <f t="shared" si="5"/>
        <v>46.026202802021999</v>
      </c>
      <c r="G21" s="198">
        <f t="shared" si="6"/>
        <v>28.219657865330465</v>
      </c>
      <c r="H21" s="198">
        <f t="shared" si="7"/>
        <v>6726.6916848772889</v>
      </c>
    </row>
    <row r="22" spans="1:8" ht="16.5">
      <c r="A22" s="177"/>
      <c r="B22" s="196">
        <f t="shared" si="1"/>
        <v>7</v>
      </c>
      <c r="C22" s="197">
        <f t="shared" si="2"/>
        <v>42217</v>
      </c>
      <c r="D22" s="198">
        <f t="shared" si="3"/>
        <v>6726.6916848772889</v>
      </c>
      <c r="E22" s="198">
        <f t="shared" si="4"/>
        <v>74.24586066735246</v>
      </c>
      <c r="F22" s="198">
        <f t="shared" si="5"/>
        <v>46.217978647030421</v>
      </c>
      <c r="G22" s="198">
        <f t="shared" si="6"/>
        <v>28.027882020322036</v>
      </c>
      <c r="H22" s="198">
        <f t="shared" si="7"/>
        <v>6680.4737062302556</v>
      </c>
    </row>
    <row r="23" spans="1:8" ht="16.5">
      <c r="A23" s="177"/>
      <c r="B23" s="196">
        <f t="shared" si="1"/>
        <v>8</v>
      </c>
      <c r="C23" s="197">
        <f t="shared" si="2"/>
        <v>42248</v>
      </c>
      <c r="D23" s="198">
        <f t="shared" si="3"/>
        <v>6680.4737062302556</v>
      </c>
      <c r="E23" s="198">
        <f t="shared" si="4"/>
        <v>74.24586066735246</v>
      </c>
      <c r="F23" s="198">
        <f t="shared" si="5"/>
        <v>46.410553558059732</v>
      </c>
      <c r="G23" s="198">
        <f t="shared" si="6"/>
        <v>27.835307109292732</v>
      </c>
      <c r="H23" s="198">
        <f t="shared" si="7"/>
        <v>6634.0631526721982</v>
      </c>
    </row>
    <row r="24" spans="1:8" ht="16.5">
      <c r="A24" s="177"/>
      <c r="B24" s="196">
        <f t="shared" si="1"/>
        <v>9</v>
      </c>
      <c r="C24" s="197">
        <f t="shared" si="2"/>
        <v>42278</v>
      </c>
      <c r="D24" s="198">
        <f t="shared" si="3"/>
        <v>6634.0631526721982</v>
      </c>
      <c r="E24" s="198">
        <f t="shared" si="4"/>
        <v>74.24586066735246</v>
      </c>
      <c r="F24" s="198">
        <f t="shared" si="5"/>
        <v>46.603930864551636</v>
      </c>
      <c r="G24" s="198">
        <f t="shared" si="6"/>
        <v>27.641929802800824</v>
      </c>
      <c r="H24" s="198">
        <f t="shared" si="7"/>
        <v>6587.4592218076459</v>
      </c>
    </row>
    <row r="25" spans="1:8" ht="16.5">
      <c r="A25" s="177"/>
      <c r="B25" s="196">
        <f t="shared" si="1"/>
        <v>10</v>
      </c>
      <c r="C25" s="197">
        <f t="shared" si="2"/>
        <v>42309</v>
      </c>
      <c r="D25" s="198">
        <f t="shared" si="3"/>
        <v>6587.4592218076459</v>
      </c>
      <c r="E25" s="198">
        <f t="shared" si="4"/>
        <v>74.24586066735246</v>
      </c>
      <c r="F25" s="198">
        <f t="shared" si="5"/>
        <v>46.7981139098206</v>
      </c>
      <c r="G25" s="198">
        <f t="shared" si="6"/>
        <v>27.447746757531856</v>
      </c>
      <c r="H25" s="198">
        <f t="shared" si="7"/>
        <v>6540.6611078978249</v>
      </c>
    </row>
    <row r="26" spans="1:8" ht="16.5">
      <c r="A26" s="177"/>
      <c r="B26" s="196">
        <f t="shared" si="1"/>
        <v>11</v>
      </c>
      <c r="C26" s="197">
        <f t="shared" si="2"/>
        <v>42339</v>
      </c>
      <c r="D26" s="198">
        <f t="shared" si="3"/>
        <v>6540.6611078978249</v>
      </c>
      <c r="E26" s="198">
        <f t="shared" si="4"/>
        <v>74.24586066735246</v>
      </c>
      <c r="F26" s="198">
        <f t="shared" si="5"/>
        <v>46.993106051111525</v>
      </c>
      <c r="G26" s="198">
        <f t="shared" si="6"/>
        <v>27.252754616240935</v>
      </c>
      <c r="H26" s="198">
        <f t="shared" si="7"/>
        <v>6493.6680018467141</v>
      </c>
    </row>
    <row r="27" spans="1:8" ht="16.5">
      <c r="A27" s="177"/>
      <c r="B27" s="196">
        <f t="shared" si="1"/>
        <v>12</v>
      </c>
      <c r="C27" s="197">
        <f t="shared" si="2"/>
        <v>42370</v>
      </c>
      <c r="D27" s="198">
        <f t="shared" si="3"/>
        <v>6493.6680018467141</v>
      </c>
      <c r="E27" s="198">
        <f t="shared" si="4"/>
        <v>74.24586066735246</v>
      </c>
      <c r="F27" s="198">
        <f t="shared" si="5"/>
        <v>47.188910659657822</v>
      </c>
      <c r="G27" s="198">
        <f t="shared" si="6"/>
        <v>27.056950007694642</v>
      </c>
      <c r="H27" s="198">
        <f t="shared" si="7"/>
        <v>6446.479091187055</v>
      </c>
    </row>
    <row r="28" spans="1:8" ht="16.5">
      <c r="A28" s="177"/>
      <c r="B28" s="196">
        <f t="shared" si="1"/>
        <v>13</v>
      </c>
      <c r="C28" s="197">
        <f t="shared" si="2"/>
        <v>42401</v>
      </c>
      <c r="D28" s="198">
        <f t="shared" si="3"/>
        <v>6446.479091187055</v>
      </c>
      <c r="E28" s="198">
        <f t="shared" si="4"/>
        <v>74.24586066735246</v>
      </c>
      <c r="F28" s="198">
        <f t="shared" si="5"/>
        <v>47.385531120739728</v>
      </c>
      <c r="G28" s="198">
        <f t="shared" si="6"/>
        <v>26.860329546612729</v>
      </c>
      <c r="H28" s="198">
        <f t="shared" si="7"/>
        <v>6399.093560066317</v>
      </c>
    </row>
    <row r="29" spans="1:8" ht="16.5">
      <c r="A29" s="177"/>
      <c r="B29" s="196">
        <f t="shared" si="1"/>
        <v>14</v>
      </c>
      <c r="C29" s="197">
        <f t="shared" si="2"/>
        <v>42430</v>
      </c>
      <c r="D29" s="198">
        <f t="shared" si="3"/>
        <v>6399.093560066317</v>
      </c>
      <c r="E29" s="198">
        <f t="shared" si="4"/>
        <v>74.24586066735246</v>
      </c>
      <c r="F29" s="198">
        <f t="shared" si="5"/>
        <v>47.582970833742806</v>
      </c>
      <c r="G29" s="198">
        <f t="shared" si="6"/>
        <v>26.662889833609654</v>
      </c>
      <c r="H29" s="198">
        <f t="shared" si="7"/>
        <v>6351.5105892325737</v>
      </c>
    </row>
    <row r="30" spans="1:8" ht="16.5">
      <c r="A30" s="177"/>
      <c r="B30" s="196">
        <f t="shared" si="1"/>
        <v>15</v>
      </c>
      <c r="C30" s="197">
        <f t="shared" si="2"/>
        <v>42461</v>
      </c>
      <c r="D30" s="198">
        <f t="shared" si="3"/>
        <v>6351.5105892325737</v>
      </c>
      <c r="E30" s="198">
        <f t="shared" si="4"/>
        <v>74.24586066735246</v>
      </c>
      <c r="F30" s="198">
        <f t="shared" si="5"/>
        <v>47.781233212216733</v>
      </c>
      <c r="G30" s="198">
        <f t="shared" si="6"/>
        <v>26.464627455135723</v>
      </c>
      <c r="H30" s="198">
        <f t="shared" si="7"/>
        <v>6303.7293560203534</v>
      </c>
    </row>
    <row r="31" spans="1:8" ht="16.5">
      <c r="A31" s="177"/>
      <c r="B31" s="196">
        <f t="shared" si="1"/>
        <v>16</v>
      </c>
      <c r="C31" s="197">
        <f t="shared" si="2"/>
        <v>42491</v>
      </c>
      <c r="D31" s="198">
        <f t="shared" si="3"/>
        <v>6303.7293560203534</v>
      </c>
      <c r="E31" s="198">
        <f t="shared" si="4"/>
        <v>74.24586066735246</v>
      </c>
      <c r="F31" s="198">
        <f t="shared" si="5"/>
        <v>47.980321683934321</v>
      </c>
      <c r="G31" s="198">
        <f t="shared" si="6"/>
        <v>26.265538983418139</v>
      </c>
      <c r="H31" s="198">
        <f t="shared" si="7"/>
        <v>6255.7490343364216</v>
      </c>
    </row>
    <row r="32" spans="1:8" ht="16.5">
      <c r="A32" s="177"/>
      <c r="B32" s="196">
        <f t="shared" si="1"/>
        <v>17</v>
      </c>
      <c r="C32" s="197">
        <f t="shared" si="2"/>
        <v>42522</v>
      </c>
      <c r="D32" s="198">
        <f t="shared" si="3"/>
        <v>6255.7490343364216</v>
      </c>
      <c r="E32" s="198">
        <f t="shared" si="4"/>
        <v>74.24586066735246</v>
      </c>
      <c r="F32" s="198">
        <f t="shared" si="5"/>
        <v>48.1802396909507</v>
      </c>
      <c r="G32" s="198">
        <f t="shared" si="6"/>
        <v>26.065620976401757</v>
      </c>
      <c r="H32" s="198">
        <f t="shared" si="7"/>
        <v>6207.56879464547</v>
      </c>
    </row>
    <row r="33" spans="1:8" ht="16.5">
      <c r="A33" s="177"/>
      <c r="B33" s="196">
        <f t="shared" si="1"/>
        <v>18</v>
      </c>
      <c r="C33" s="197">
        <f t="shared" si="2"/>
        <v>42552</v>
      </c>
      <c r="D33" s="198">
        <f t="shared" si="3"/>
        <v>6207.56879464547</v>
      </c>
      <c r="E33" s="198">
        <f t="shared" si="4"/>
        <v>74.24586066735246</v>
      </c>
      <c r="F33" s="198">
        <f t="shared" si="5"/>
        <v>48.380990689663001</v>
      </c>
      <c r="G33" s="198">
        <f t="shared" si="6"/>
        <v>25.864869977689459</v>
      </c>
      <c r="H33" s="198">
        <f t="shared" si="7"/>
        <v>6159.1878039558087</v>
      </c>
    </row>
    <row r="34" spans="1:8" ht="16.5">
      <c r="A34" s="177"/>
      <c r="B34" s="196">
        <f t="shared" si="1"/>
        <v>19</v>
      </c>
      <c r="C34" s="197">
        <f t="shared" si="2"/>
        <v>42583</v>
      </c>
      <c r="D34" s="198">
        <f t="shared" si="3"/>
        <v>6159.1878039558087</v>
      </c>
      <c r="E34" s="198">
        <f t="shared" si="4"/>
        <v>74.24586066735246</v>
      </c>
      <c r="F34" s="198">
        <f t="shared" si="5"/>
        <v>48.582578150869921</v>
      </c>
      <c r="G34" s="198">
        <f t="shared" si="6"/>
        <v>25.663282516482536</v>
      </c>
      <c r="H34" s="198">
        <f t="shared" si="7"/>
        <v>6110.6052258049367</v>
      </c>
    </row>
    <row r="35" spans="1:8" ht="16.5">
      <c r="A35" s="177"/>
      <c r="B35" s="196">
        <f t="shared" si="1"/>
        <v>20</v>
      </c>
      <c r="C35" s="197">
        <f t="shared" si="2"/>
        <v>42614</v>
      </c>
      <c r="D35" s="198">
        <f t="shared" si="3"/>
        <v>6110.6052258049367</v>
      </c>
      <c r="E35" s="198">
        <f t="shared" si="4"/>
        <v>74.24586066735246</v>
      </c>
      <c r="F35" s="198">
        <f t="shared" si="5"/>
        <v>48.785005559831887</v>
      </c>
      <c r="G35" s="198">
        <f t="shared" si="6"/>
        <v>25.460855107520569</v>
      </c>
      <c r="H35" s="198">
        <f t="shared" si="7"/>
        <v>6061.8202202451039</v>
      </c>
    </row>
    <row r="36" spans="1:8" ht="16.5">
      <c r="A36" s="177"/>
      <c r="B36" s="196">
        <f t="shared" si="1"/>
        <v>21</v>
      </c>
      <c r="C36" s="197">
        <f t="shared" si="2"/>
        <v>42644</v>
      </c>
      <c r="D36" s="198">
        <f t="shared" si="3"/>
        <v>6061.8202202451039</v>
      </c>
      <c r="E36" s="198">
        <f t="shared" si="4"/>
        <v>74.24586066735246</v>
      </c>
      <c r="F36" s="198">
        <f t="shared" si="5"/>
        <v>48.988276416331189</v>
      </c>
      <c r="G36" s="198">
        <f t="shared" si="6"/>
        <v>25.257584251021267</v>
      </c>
      <c r="H36" s="198">
        <f t="shared" si="7"/>
        <v>6012.8319438287735</v>
      </c>
    </row>
    <row r="37" spans="1:8" ht="16.5">
      <c r="A37" s="177"/>
      <c r="B37" s="196">
        <f t="shared" si="1"/>
        <v>22</v>
      </c>
      <c r="C37" s="197">
        <f t="shared" si="2"/>
        <v>42675</v>
      </c>
      <c r="D37" s="198">
        <f t="shared" si="3"/>
        <v>6012.8319438287735</v>
      </c>
      <c r="E37" s="198">
        <f t="shared" si="4"/>
        <v>74.24586066735246</v>
      </c>
      <c r="F37" s="198">
        <f t="shared" si="5"/>
        <v>49.192394234732575</v>
      </c>
      <c r="G37" s="198">
        <f t="shared" si="6"/>
        <v>25.053466432619889</v>
      </c>
      <c r="H37" s="198">
        <f t="shared" si="7"/>
        <v>5963.6395495940424</v>
      </c>
    </row>
    <row r="38" spans="1:8" ht="16.5">
      <c r="A38" s="177"/>
      <c r="B38" s="196">
        <f t="shared" si="1"/>
        <v>23</v>
      </c>
      <c r="C38" s="197">
        <f t="shared" si="2"/>
        <v>42705</v>
      </c>
      <c r="D38" s="198">
        <f t="shared" si="3"/>
        <v>5963.6395495940424</v>
      </c>
      <c r="E38" s="198">
        <f t="shared" si="4"/>
        <v>74.24586066735246</v>
      </c>
      <c r="F38" s="198">
        <f t="shared" si="5"/>
        <v>49.397362544043951</v>
      </c>
      <c r="G38" s="198">
        <f t="shared" si="6"/>
        <v>24.848498123308509</v>
      </c>
      <c r="H38" s="198">
        <f t="shared" si="7"/>
        <v>5914.2421870499948</v>
      </c>
    </row>
    <row r="39" spans="1:8" ht="16.5">
      <c r="A39" s="177"/>
      <c r="B39" s="196">
        <f t="shared" si="1"/>
        <v>24</v>
      </c>
      <c r="C39" s="197">
        <f t="shared" si="2"/>
        <v>42736</v>
      </c>
      <c r="D39" s="198">
        <f t="shared" si="3"/>
        <v>5914.2421870499948</v>
      </c>
      <c r="E39" s="198">
        <f t="shared" si="4"/>
        <v>74.24586066735246</v>
      </c>
      <c r="F39" s="198">
        <f t="shared" si="5"/>
        <v>49.603184887977477</v>
      </c>
      <c r="G39" s="198">
        <f t="shared" si="6"/>
        <v>24.642675779374979</v>
      </c>
      <c r="H39" s="198">
        <f t="shared" si="7"/>
        <v>5864.6390021620191</v>
      </c>
    </row>
    <row r="40" spans="1:8" ht="16.5">
      <c r="A40" s="177"/>
      <c r="B40" s="196">
        <f t="shared" si="1"/>
        <v>25</v>
      </c>
      <c r="C40" s="197">
        <f t="shared" si="2"/>
        <v>42767</v>
      </c>
      <c r="D40" s="198">
        <f t="shared" si="3"/>
        <v>5864.6390021620191</v>
      </c>
      <c r="E40" s="198">
        <f t="shared" si="4"/>
        <v>74.24586066735246</v>
      </c>
      <c r="F40" s="198">
        <f t="shared" si="5"/>
        <v>49.809864825010713</v>
      </c>
      <c r="G40" s="198">
        <f t="shared" si="6"/>
        <v>24.435995842341747</v>
      </c>
      <c r="H40" s="198">
        <f t="shared" si="7"/>
        <v>5814.8291373370093</v>
      </c>
    </row>
    <row r="41" spans="1:8" ht="16.5">
      <c r="A41" s="177"/>
      <c r="B41" s="196">
        <f t="shared" si="1"/>
        <v>26</v>
      </c>
      <c r="C41" s="197">
        <f t="shared" si="2"/>
        <v>42795</v>
      </c>
      <c r="D41" s="198">
        <f t="shared" si="3"/>
        <v>5814.8291373370093</v>
      </c>
      <c r="E41" s="198">
        <f t="shared" si="4"/>
        <v>74.24586066735246</v>
      </c>
      <c r="F41" s="198">
        <f t="shared" si="5"/>
        <v>50.017405928448255</v>
      </c>
      <c r="G41" s="198">
        <f t="shared" si="6"/>
        <v>24.228454738904205</v>
      </c>
      <c r="H41" s="198">
        <f t="shared" si="7"/>
        <v>5764.8117314085575</v>
      </c>
    </row>
    <row r="42" spans="1:8" ht="16.5">
      <c r="A42" s="177"/>
      <c r="B42" s="196">
        <f t="shared" si="1"/>
        <v>27</v>
      </c>
      <c r="C42" s="197">
        <f t="shared" si="2"/>
        <v>42826</v>
      </c>
      <c r="D42" s="198">
        <f t="shared" si="3"/>
        <v>5764.8117314085575</v>
      </c>
      <c r="E42" s="198">
        <f t="shared" si="4"/>
        <v>74.24586066735246</v>
      </c>
      <c r="F42" s="198">
        <f t="shared" si="5"/>
        <v>50.225811786483469</v>
      </c>
      <c r="G42" s="198">
        <f t="shared" si="6"/>
        <v>24.020048880868991</v>
      </c>
      <c r="H42" s="198">
        <f t="shared" si="7"/>
        <v>5714.5859196220772</v>
      </c>
    </row>
    <row r="43" spans="1:8" ht="16.5">
      <c r="A43" s="177"/>
      <c r="B43" s="196">
        <f t="shared" si="1"/>
        <v>28</v>
      </c>
      <c r="C43" s="197">
        <f t="shared" si="2"/>
        <v>42856</v>
      </c>
      <c r="D43" s="198">
        <f t="shared" si="3"/>
        <v>5714.5859196220772</v>
      </c>
      <c r="E43" s="198">
        <f t="shared" si="4"/>
        <v>74.24586066735246</v>
      </c>
      <c r="F43" s="198">
        <f t="shared" si="5"/>
        <v>50.435086002260476</v>
      </c>
      <c r="G43" s="198">
        <f t="shared" si="6"/>
        <v>23.810774665091987</v>
      </c>
      <c r="H43" s="198">
        <f t="shared" si="7"/>
        <v>5664.1508336198167</v>
      </c>
    </row>
    <row r="44" spans="1:8" ht="16.5">
      <c r="A44" s="177"/>
      <c r="B44" s="196">
        <f t="shared" si="1"/>
        <v>29</v>
      </c>
      <c r="C44" s="197">
        <f t="shared" si="2"/>
        <v>42887</v>
      </c>
      <c r="D44" s="198">
        <f t="shared" si="3"/>
        <v>5664.1508336198167</v>
      </c>
      <c r="E44" s="198">
        <f t="shared" si="4"/>
        <v>74.24586066735246</v>
      </c>
      <c r="F44" s="198">
        <f t="shared" si="5"/>
        <v>50.645232193936558</v>
      </c>
      <c r="G44" s="198">
        <f t="shared" si="6"/>
        <v>23.600628473415902</v>
      </c>
      <c r="H44" s="198">
        <f t="shared" si="7"/>
        <v>5613.5056014258798</v>
      </c>
    </row>
    <row r="45" spans="1:8" ht="16.5">
      <c r="A45" s="177"/>
      <c r="B45" s="196">
        <f t="shared" si="1"/>
        <v>30</v>
      </c>
      <c r="C45" s="197">
        <f t="shared" si="2"/>
        <v>42917</v>
      </c>
      <c r="D45" s="198">
        <f t="shared" si="3"/>
        <v>5613.5056014258798</v>
      </c>
      <c r="E45" s="198">
        <f t="shared" si="4"/>
        <v>74.24586066735246</v>
      </c>
      <c r="F45" s="198">
        <f t="shared" si="5"/>
        <v>50.856253994744627</v>
      </c>
      <c r="G45" s="198">
        <f t="shared" si="6"/>
        <v>23.389606672607833</v>
      </c>
      <c r="H45" s="198">
        <f t="shared" si="7"/>
        <v>5562.6493474311355</v>
      </c>
    </row>
    <row r="46" spans="1:8" ht="16.5">
      <c r="A46" s="177"/>
      <c r="B46" s="196">
        <f t="shared" si="1"/>
        <v>31</v>
      </c>
      <c r="C46" s="197">
        <f t="shared" si="2"/>
        <v>42948</v>
      </c>
      <c r="D46" s="198">
        <f t="shared" si="3"/>
        <v>5562.6493474311355</v>
      </c>
      <c r="E46" s="198">
        <f t="shared" si="4"/>
        <v>74.24586066735246</v>
      </c>
      <c r="F46" s="198">
        <f t="shared" si="5"/>
        <v>51.06815505305606</v>
      </c>
      <c r="G46" s="198">
        <f t="shared" si="6"/>
        <v>23.177705614296396</v>
      </c>
      <c r="H46" s="198">
        <f t="shared" si="7"/>
        <v>5511.5811923780739</v>
      </c>
    </row>
    <row r="47" spans="1:8" ht="16.5">
      <c r="A47" s="177"/>
      <c r="B47" s="196">
        <f t="shared" si="1"/>
        <v>32</v>
      </c>
      <c r="C47" s="197">
        <f t="shared" si="2"/>
        <v>42979</v>
      </c>
      <c r="D47" s="198">
        <f t="shared" si="3"/>
        <v>5511.5811923780739</v>
      </c>
      <c r="E47" s="198">
        <f t="shared" si="4"/>
        <v>74.24586066735246</v>
      </c>
      <c r="F47" s="198">
        <f t="shared" si="5"/>
        <v>51.280939032443818</v>
      </c>
      <c r="G47" s="198">
        <f t="shared" si="6"/>
        <v>22.964921634908642</v>
      </c>
      <c r="H47" s="198">
        <f t="shared" si="7"/>
        <v>5460.3002533456329</v>
      </c>
    </row>
    <row r="48" spans="1:8" ht="16.5">
      <c r="A48" s="177"/>
      <c r="B48" s="196">
        <f t="shared" si="1"/>
        <v>33</v>
      </c>
      <c r="C48" s="197">
        <f t="shared" si="2"/>
        <v>43009</v>
      </c>
      <c r="D48" s="198">
        <f t="shared" si="3"/>
        <v>5460.3002533456329</v>
      </c>
      <c r="E48" s="198">
        <f t="shared" si="4"/>
        <v>74.24586066735246</v>
      </c>
      <c r="F48" s="198">
        <f t="shared" si="5"/>
        <v>51.494609611745659</v>
      </c>
      <c r="G48" s="198">
        <f t="shared" si="6"/>
        <v>22.751251055606804</v>
      </c>
      <c r="H48" s="198">
        <f t="shared" si="7"/>
        <v>5408.8056437338864</v>
      </c>
    </row>
    <row r="49" spans="1:8" ht="16.5">
      <c r="A49" s="177"/>
      <c r="B49" s="196">
        <f t="shared" si="1"/>
        <v>34</v>
      </c>
      <c r="C49" s="197">
        <f t="shared" si="2"/>
        <v>43040</v>
      </c>
      <c r="D49" s="198">
        <f t="shared" si="3"/>
        <v>5408.8056437338864</v>
      </c>
      <c r="E49" s="198">
        <f t="shared" si="4"/>
        <v>74.24586066735246</v>
      </c>
      <c r="F49" s="198">
        <f t="shared" si="5"/>
        <v>51.709170485127935</v>
      </c>
      <c r="G49" s="198">
        <f t="shared" si="6"/>
        <v>22.536690182224525</v>
      </c>
      <c r="H49" s="198">
        <f t="shared" si="7"/>
        <v>5357.0964732487591</v>
      </c>
    </row>
    <row r="50" spans="1:8" ht="16.5">
      <c r="A50" s="177"/>
      <c r="B50" s="196">
        <f t="shared" si="1"/>
        <v>35</v>
      </c>
      <c r="C50" s="197">
        <f t="shared" si="2"/>
        <v>43070</v>
      </c>
      <c r="D50" s="198">
        <f t="shared" si="3"/>
        <v>5357.0964732487591</v>
      </c>
      <c r="E50" s="198">
        <f t="shared" si="4"/>
        <v>74.24586066735246</v>
      </c>
      <c r="F50" s="198">
        <f t="shared" si="5"/>
        <v>51.9246253621493</v>
      </c>
      <c r="G50" s="198">
        <f t="shared" si="6"/>
        <v>22.321235305203164</v>
      </c>
      <c r="H50" s="198">
        <f t="shared" si="7"/>
        <v>5305.1718478866087</v>
      </c>
    </row>
    <row r="51" spans="1:8" ht="16.5">
      <c r="A51" s="177"/>
      <c r="B51" s="196">
        <f t="shared" si="1"/>
        <v>36</v>
      </c>
      <c r="C51" s="197">
        <f t="shared" si="2"/>
        <v>43101</v>
      </c>
      <c r="D51" s="198">
        <f t="shared" si="3"/>
        <v>5305.1718478866087</v>
      </c>
      <c r="E51" s="198">
        <f t="shared" si="4"/>
        <v>74.24586066735246</v>
      </c>
      <c r="F51" s="198">
        <f t="shared" si="5"/>
        <v>52.140977967824924</v>
      </c>
      <c r="G51" s="198">
        <f t="shared" si="6"/>
        <v>22.104882699527536</v>
      </c>
      <c r="H51" s="198">
        <f t="shared" si="7"/>
        <v>5253.0308699187854</v>
      </c>
    </row>
    <row r="52" spans="1:8" ht="16.5">
      <c r="A52" s="177"/>
      <c r="B52" s="196">
        <f t="shared" si="1"/>
        <v>37</v>
      </c>
      <c r="C52" s="197">
        <f t="shared" si="2"/>
        <v>43132</v>
      </c>
      <c r="D52" s="198">
        <f t="shared" si="3"/>
        <v>5253.0308699187854</v>
      </c>
      <c r="E52" s="198">
        <f t="shared" si="4"/>
        <v>74.24586066735246</v>
      </c>
      <c r="F52" s="198">
        <f t="shared" si="5"/>
        <v>52.358232042690858</v>
      </c>
      <c r="G52" s="198">
        <f t="shared" si="6"/>
        <v>21.887628624661605</v>
      </c>
      <c r="H52" s="198">
        <f t="shared" si="7"/>
        <v>5200.6726378760941</v>
      </c>
    </row>
    <row r="53" spans="1:8" ht="16.5">
      <c r="A53" s="177"/>
      <c r="B53" s="196">
        <f t="shared" si="1"/>
        <v>38</v>
      </c>
      <c r="C53" s="197">
        <f t="shared" si="2"/>
        <v>43160</v>
      </c>
      <c r="D53" s="198">
        <f t="shared" si="3"/>
        <v>5200.6726378760941</v>
      </c>
      <c r="E53" s="198">
        <f t="shared" si="4"/>
        <v>74.24586066735246</v>
      </c>
      <c r="F53" s="198">
        <f t="shared" si="5"/>
        <v>52.576391342868732</v>
      </c>
      <c r="G53" s="198">
        <f t="shared" si="6"/>
        <v>21.669469324483725</v>
      </c>
      <c r="H53" s="198">
        <f t="shared" si="7"/>
        <v>5148.096246533225</v>
      </c>
    </row>
    <row r="54" spans="1:8" ht="16.5">
      <c r="A54" s="177"/>
      <c r="B54" s="196">
        <f t="shared" si="1"/>
        <v>39</v>
      </c>
      <c r="C54" s="197">
        <f t="shared" si="2"/>
        <v>43191</v>
      </c>
      <c r="D54" s="198">
        <f t="shared" si="3"/>
        <v>5148.096246533225</v>
      </c>
      <c r="E54" s="198">
        <f t="shared" si="4"/>
        <v>74.24586066735246</v>
      </c>
      <c r="F54" s="198">
        <f t="shared" si="5"/>
        <v>52.795459640130687</v>
      </c>
      <c r="G54" s="198">
        <f t="shared" si="6"/>
        <v>21.450401027221769</v>
      </c>
      <c r="H54" s="198">
        <f t="shared" si="7"/>
        <v>5095.3007868930927</v>
      </c>
    </row>
    <row r="55" spans="1:8" ht="16.5">
      <c r="A55" s="177"/>
      <c r="B55" s="196">
        <f t="shared" si="1"/>
        <v>40</v>
      </c>
      <c r="C55" s="197">
        <f t="shared" si="2"/>
        <v>43221</v>
      </c>
      <c r="D55" s="198">
        <f t="shared" si="3"/>
        <v>5095.3007868930927</v>
      </c>
      <c r="E55" s="198">
        <f t="shared" si="4"/>
        <v>74.24586066735246</v>
      </c>
      <c r="F55" s="198">
        <f t="shared" si="5"/>
        <v>53.015440721964573</v>
      </c>
      <c r="G55" s="198">
        <f t="shared" si="6"/>
        <v>21.230419945387887</v>
      </c>
      <c r="H55" s="198">
        <f t="shared" si="7"/>
        <v>5042.2853461711293</v>
      </c>
    </row>
    <row r="56" spans="1:8" ht="16.5">
      <c r="A56" s="177"/>
      <c r="B56" s="196">
        <f t="shared" si="1"/>
        <v>41</v>
      </c>
      <c r="C56" s="197">
        <f t="shared" si="2"/>
        <v>43252</v>
      </c>
      <c r="D56" s="198">
        <f t="shared" si="3"/>
        <v>5042.2853461711293</v>
      </c>
      <c r="E56" s="198">
        <f t="shared" si="4"/>
        <v>74.24586066735246</v>
      </c>
      <c r="F56" s="198">
        <f t="shared" si="5"/>
        <v>53.236338391639421</v>
      </c>
      <c r="G56" s="198">
        <f t="shared" si="6"/>
        <v>21.009522275713039</v>
      </c>
      <c r="H56" s="198">
        <f t="shared" si="7"/>
        <v>4989.0490077794911</v>
      </c>
    </row>
    <row r="57" spans="1:8" ht="16.5">
      <c r="A57" s="177"/>
      <c r="B57" s="196">
        <f t="shared" si="1"/>
        <v>42</v>
      </c>
      <c r="C57" s="197">
        <f t="shared" si="2"/>
        <v>43282</v>
      </c>
      <c r="D57" s="198">
        <f t="shared" si="3"/>
        <v>4989.0490077794911</v>
      </c>
      <c r="E57" s="198">
        <f t="shared" si="4"/>
        <v>74.24586066735246</v>
      </c>
      <c r="F57" s="198">
        <f t="shared" si="5"/>
        <v>53.458156468271248</v>
      </c>
      <c r="G57" s="198">
        <f t="shared" si="6"/>
        <v>20.787704199081212</v>
      </c>
      <c r="H57" s="198">
        <f t="shared" si="7"/>
        <v>4935.5908513112163</v>
      </c>
    </row>
    <row r="58" spans="1:8" ht="16.5">
      <c r="A58" s="177"/>
      <c r="B58" s="196">
        <f t="shared" si="1"/>
        <v>43</v>
      </c>
      <c r="C58" s="197">
        <f t="shared" si="2"/>
        <v>43313</v>
      </c>
      <c r="D58" s="198">
        <f t="shared" si="3"/>
        <v>4935.5908513112163</v>
      </c>
      <c r="E58" s="198">
        <f t="shared" si="4"/>
        <v>74.24586066735246</v>
      </c>
      <c r="F58" s="198">
        <f t="shared" si="5"/>
        <v>53.68089878688906</v>
      </c>
      <c r="G58" s="198">
        <f t="shared" si="6"/>
        <v>20.5649618804634</v>
      </c>
      <c r="H58" s="198">
        <f t="shared" si="7"/>
        <v>4881.9099525243291</v>
      </c>
    </row>
    <row r="59" spans="1:8" ht="16.5">
      <c r="A59" s="177"/>
      <c r="B59" s="196">
        <f t="shared" si="1"/>
        <v>44</v>
      </c>
      <c r="C59" s="197">
        <f t="shared" si="2"/>
        <v>43344</v>
      </c>
      <c r="D59" s="198">
        <f t="shared" si="3"/>
        <v>4881.9099525243291</v>
      </c>
      <c r="E59" s="198">
        <f t="shared" si="4"/>
        <v>74.24586066735246</v>
      </c>
      <c r="F59" s="198">
        <f t="shared" si="5"/>
        <v>53.904569198501093</v>
      </c>
      <c r="G59" s="198">
        <f t="shared" si="6"/>
        <v>20.34129146885137</v>
      </c>
      <c r="H59" s="198">
        <f t="shared" si="7"/>
        <v>4828.0053833258262</v>
      </c>
    </row>
    <row r="60" spans="1:8" ht="16.5">
      <c r="A60" s="177"/>
      <c r="B60" s="196">
        <f t="shared" si="1"/>
        <v>45</v>
      </c>
      <c r="C60" s="197">
        <f t="shared" si="2"/>
        <v>43374</v>
      </c>
      <c r="D60" s="198">
        <f t="shared" si="3"/>
        <v>4828.0053833258262</v>
      </c>
      <c r="E60" s="198">
        <f t="shared" si="4"/>
        <v>74.24586066735246</v>
      </c>
      <c r="F60" s="198">
        <f t="shared" si="5"/>
        <v>54.129171570161517</v>
      </c>
      <c r="G60" s="198">
        <f t="shared" si="6"/>
        <v>20.116689097190942</v>
      </c>
      <c r="H60" s="198">
        <f t="shared" si="7"/>
        <v>4773.8762117556689</v>
      </c>
    </row>
    <row r="61" spans="1:8" ht="16.5">
      <c r="A61" s="177"/>
      <c r="B61" s="196">
        <f t="shared" si="1"/>
        <v>46</v>
      </c>
      <c r="C61" s="197">
        <f t="shared" si="2"/>
        <v>43405</v>
      </c>
      <c r="D61" s="198">
        <f t="shared" si="3"/>
        <v>4773.8762117556689</v>
      </c>
      <c r="E61" s="198">
        <f t="shared" si="4"/>
        <v>74.24586066735246</v>
      </c>
      <c r="F61" s="198">
        <f t="shared" si="5"/>
        <v>54.354709785037173</v>
      </c>
      <c r="G61" s="198">
        <f t="shared" si="6"/>
        <v>19.891150882315287</v>
      </c>
      <c r="H61" s="198">
        <f t="shared" si="7"/>
        <v>4719.5215019706302</v>
      </c>
    </row>
    <row r="62" spans="1:8" ht="16.5">
      <c r="A62" s="177"/>
      <c r="B62" s="196">
        <f t="shared" si="1"/>
        <v>47</v>
      </c>
      <c r="C62" s="197">
        <f t="shared" si="2"/>
        <v>43435</v>
      </c>
      <c r="D62" s="198">
        <f t="shared" si="3"/>
        <v>4719.5215019706302</v>
      </c>
      <c r="E62" s="198">
        <f t="shared" si="4"/>
        <v>74.24586066735246</v>
      </c>
      <c r="F62" s="198">
        <f t="shared" si="5"/>
        <v>54.581187742474839</v>
      </c>
      <c r="G62" s="198">
        <f t="shared" si="6"/>
        <v>19.664672924877625</v>
      </c>
      <c r="H62" s="198">
        <f t="shared" si="7"/>
        <v>4664.9403142281526</v>
      </c>
    </row>
    <row r="63" spans="1:8" ht="16.5">
      <c r="A63" s="177"/>
      <c r="B63" s="196">
        <f t="shared" si="1"/>
        <v>48</v>
      </c>
      <c r="C63" s="197">
        <f t="shared" si="2"/>
        <v>43466</v>
      </c>
      <c r="D63" s="198">
        <f t="shared" si="3"/>
        <v>4664.9403142281526</v>
      </c>
      <c r="E63" s="198">
        <f t="shared" si="4"/>
        <v>74.24586066735246</v>
      </c>
      <c r="F63" s="198">
        <f t="shared" si="5"/>
        <v>54.808609358068495</v>
      </c>
      <c r="G63" s="198">
        <f t="shared" si="6"/>
        <v>19.437251309283969</v>
      </c>
      <c r="H63" s="198">
        <f t="shared" si="7"/>
        <v>4610.1317048700848</v>
      </c>
    </row>
    <row r="64" spans="1:8" ht="16.5">
      <c r="A64" s="177"/>
      <c r="B64" s="196">
        <f t="shared" si="1"/>
        <v>49</v>
      </c>
      <c r="C64" s="197">
        <f t="shared" si="2"/>
        <v>43497</v>
      </c>
      <c r="D64" s="198">
        <f t="shared" si="3"/>
        <v>4610.1317048700848</v>
      </c>
      <c r="E64" s="198">
        <f t="shared" si="4"/>
        <v>74.24586066735246</v>
      </c>
      <c r="F64" s="198">
        <f t="shared" si="5"/>
        <v>55.036978563727104</v>
      </c>
      <c r="G64" s="198">
        <f t="shared" si="6"/>
        <v>19.208882103625353</v>
      </c>
      <c r="H64" s="198">
        <f t="shared" si="7"/>
        <v>4555.0947263063572</v>
      </c>
    </row>
    <row r="65" spans="1:8" ht="16.5">
      <c r="A65" s="177"/>
      <c r="B65" s="196">
        <f t="shared" si="1"/>
        <v>50</v>
      </c>
      <c r="C65" s="197">
        <f t="shared" si="2"/>
        <v>43525</v>
      </c>
      <c r="D65" s="198">
        <f t="shared" si="3"/>
        <v>4555.0947263063572</v>
      </c>
      <c r="E65" s="198">
        <f t="shared" si="4"/>
        <v>74.24586066735246</v>
      </c>
      <c r="F65" s="198">
        <f t="shared" si="5"/>
        <v>55.266299307742642</v>
      </c>
      <c r="G65" s="198">
        <f t="shared" si="6"/>
        <v>18.979561359609821</v>
      </c>
      <c r="H65" s="198">
        <f t="shared" si="7"/>
        <v>4499.8284269986161</v>
      </c>
    </row>
    <row r="66" spans="1:8" ht="16.5">
      <c r="A66" s="177"/>
      <c r="B66" s="196">
        <f t="shared" si="1"/>
        <v>51</v>
      </c>
      <c r="C66" s="197">
        <f t="shared" si="2"/>
        <v>43556</v>
      </c>
      <c r="D66" s="198">
        <f t="shared" si="3"/>
        <v>4499.8284269986161</v>
      </c>
      <c r="E66" s="198">
        <f t="shared" si="4"/>
        <v>74.24586066735246</v>
      </c>
      <c r="F66" s="198">
        <f t="shared" si="5"/>
        <v>55.496575554858225</v>
      </c>
      <c r="G66" s="198">
        <f t="shared" si="6"/>
        <v>18.749285112494235</v>
      </c>
      <c r="H66" s="198">
        <f t="shared" si="7"/>
        <v>4444.331851443756</v>
      </c>
    </row>
    <row r="67" spans="1:8" ht="16.5">
      <c r="A67" s="177"/>
      <c r="B67" s="196">
        <f t="shared" si="1"/>
        <v>52</v>
      </c>
      <c r="C67" s="197">
        <f t="shared" si="2"/>
        <v>43586</v>
      </c>
      <c r="D67" s="198">
        <f t="shared" si="3"/>
        <v>4444.331851443756</v>
      </c>
      <c r="E67" s="198">
        <f t="shared" si="4"/>
        <v>74.24586066735246</v>
      </c>
      <c r="F67" s="198">
        <f t="shared" si="5"/>
        <v>55.727811286336809</v>
      </c>
      <c r="G67" s="198">
        <f t="shared" si="6"/>
        <v>18.518049381015651</v>
      </c>
      <c r="H67" s="198">
        <f t="shared" si="7"/>
        <v>4388.6040401574182</v>
      </c>
    </row>
    <row r="68" spans="1:8" ht="16.5">
      <c r="A68" s="177"/>
      <c r="B68" s="196">
        <f t="shared" si="1"/>
        <v>53</v>
      </c>
      <c r="C68" s="197">
        <f t="shared" si="2"/>
        <v>43617</v>
      </c>
      <c r="D68" s="198">
        <f t="shared" si="3"/>
        <v>4388.6040401574182</v>
      </c>
      <c r="E68" s="198">
        <f t="shared" si="4"/>
        <v>74.24586066735246</v>
      </c>
      <c r="F68" s="198">
        <f t="shared" si="5"/>
        <v>55.960010500029881</v>
      </c>
      <c r="G68" s="198">
        <f t="shared" si="6"/>
        <v>18.285850167322575</v>
      </c>
      <c r="H68" s="198">
        <f t="shared" si="7"/>
        <v>4332.6440296573883</v>
      </c>
    </row>
    <row r="69" spans="1:8" ht="16.5">
      <c r="A69" s="177"/>
      <c r="B69" s="196">
        <f t="shared" si="1"/>
        <v>54</v>
      </c>
      <c r="C69" s="197">
        <f t="shared" si="2"/>
        <v>43647</v>
      </c>
      <c r="D69" s="198">
        <f t="shared" si="3"/>
        <v>4332.6440296573883</v>
      </c>
      <c r="E69" s="198">
        <f t="shared" si="4"/>
        <v>74.24586066735246</v>
      </c>
      <c r="F69" s="198">
        <f t="shared" si="5"/>
        <v>56.193177210446677</v>
      </c>
      <c r="G69" s="198">
        <f t="shared" si="6"/>
        <v>18.052683456905783</v>
      </c>
      <c r="H69" s="198">
        <f t="shared" si="7"/>
        <v>4276.4508524469429</v>
      </c>
    </row>
    <row r="70" spans="1:8" ht="16.5">
      <c r="A70" s="177"/>
      <c r="B70" s="196">
        <f t="shared" si="1"/>
        <v>55</v>
      </c>
      <c r="C70" s="197">
        <f t="shared" si="2"/>
        <v>43678</v>
      </c>
      <c r="D70" s="198">
        <f t="shared" si="3"/>
        <v>4276.4508524469429</v>
      </c>
      <c r="E70" s="198">
        <f t="shared" si="4"/>
        <v>74.24586066735246</v>
      </c>
      <c r="F70" s="198">
        <f t="shared" si="5"/>
        <v>56.427315448823535</v>
      </c>
      <c r="G70" s="198">
        <f t="shared" si="6"/>
        <v>17.818545218528929</v>
      </c>
      <c r="H70" s="198">
        <f t="shared" si="7"/>
        <v>4220.0235369981156</v>
      </c>
    </row>
    <row r="71" spans="1:8" ht="16.5">
      <c r="A71" s="177"/>
      <c r="B71" s="196">
        <f t="shared" si="1"/>
        <v>56</v>
      </c>
      <c r="C71" s="197">
        <f t="shared" si="2"/>
        <v>43709</v>
      </c>
      <c r="D71" s="198">
        <f t="shared" si="3"/>
        <v>4220.0235369981156</v>
      </c>
      <c r="E71" s="198">
        <f t="shared" si="4"/>
        <v>74.24586066735246</v>
      </c>
      <c r="F71" s="198">
        <f t="shared" si="5"/>
        <v>56.662429263193644</v>
      </c>
      <c r="G71" s="198">
        <f t="shared" si="6"/>
        <v>17.583431404158816</v>
      </c>
      <c r="H71" s="198">
        <f t="shared" si="7"/>
        <v>4163.3611077349251</v>
      </c>
    </row>
    <row r="72" spans="1:8" ht="16.5">
      <c r="A72" s="177"/>
      <c r="B72" s="196">
        <f t="shared" si="1"/>
        <v>57</v>
      </c>
      <c r="C72" s="197">
        <f t="shared" si="2"/>
        <v>43739</v>
      </c>
      <c r="D72" s="198">
        <f t="shared" si="3"/>
        <v>4163.3611077349251</v>
      </c>
      <c r="E72" s="198">
        <f t="shared" si="4"/>
        <v>74.24586066735246</v>
      </c>
      <c r="F72" s="198">
        <f t="shared" si="5"/>
        <v>56.898522718456938</v>
      </c>
      <c r="G72" s="198">
        <f t="shared" si="6"/>
        <v>17.347337948895522</v>
      </c>
      <c r="H72" s="198">
        <f t="shared" si="7"/>
        <v>4106.4625850164703</v>
      </c>
    </row>
    <row r="73" spans="1:8" ht="16.5">
      <c r="A73" s="177"/>
      <c r="B73" s="196">
        <f t="shared" si="1"/>
        <v>58</v>
      </c>
      <c r="C73" s="197">
        <f t="shared" si="2"/>
        <v>43770</v>
      </c>
      <c r="D73" s="198">
        <f t="shared" si="3"/>
        <v>4106.4625850164703</v>
      </c>
      <c r="E73" s="198">
        <f t="shared" si="4"/>
        <v>74.24586066735246</v>
      </c>
      <c r="F73" s="198">
        <f t="shared" si="5"/>
        <v>57.135599896450501</v>
      </c>
      <c r="G73" s="198">
        <f t="shared" si="6"/>
        <v>17.110260770901959</v>
      </c>
      <c r="H73" s="198">
        <f t="shared" si="7"/>
        <v>4049.3269851200166</v>
      </c>
    </row>
    <row r="74" spans="1:8" ht="16.5">
      <c r="A74" s="177"/>
      <c r="B74" s="196">
        <f t="shared" si="1"/>
        <v>59</v>
      </c>
      <c r="C74" s="197">
        <f t="shared" si="2"/>
        <v>43800</v>
      </c>
      <c r="D74" s="198">
        <f t="shared" si="3"/>
        <v>4049.3269851200166</v>
      </c>
      <c r="E74" s="198">
        <f t="shared" si="4"/>
        <v>74.24586066735246</v>
      </c>
      <c r="F74" s="198">
        <f t="shared" si="5"/>
        <v>57.373664896019058</v>
      </c>
      <c r="G74" s="198">
        <f t="shared" si="6"/>
        <v>16.872195771333402</v>
      </c>
      <c r="H74" s="198">
        <f t="shared" si="7"/>
        <v>3991.953320224</v>
      </c>
    </row>
    <row r="75" spans="1:8" ht="16.5">
      <c r="A75" s="177"/>
      <c r="B75" s="196">
        <f t="shared" si="1"/>
        <v>60</v>
      </c>
      <c r="C75" s="197">
        <f t="shared" si="2"/>
        <v>43831</v>
      </c>
      <c r="D75" s="198">
        <f t="shared" si="3"/>
        <v>3991.953320224</v>
      </c>
      <c r="E75" s="198">
        <f t="shared" si="4"/>
        <v>74.24586066735246</v>
      </c>
      <c r="F75" s="198">
        <f t="shared" si="5"/>
        <v>57.612721833085793</v>
      </c>
      <c r="G75" s="198">
        <f t="shared" si="6"/>
        <v>16.633138834266667</v>
      </c>
      <c r="H75" s="198">
        <f t="shared" si="7"/>
        <v>3934.3405983909115</v>
      </c>
    </row>
    <row r="76" spans="1:8" ht="16.5">
      <c r="A76" s="177"/>
      <c r="B76" s="199">
        <f t="shared" si="1"/>
        <v>61</v>
      </c>
      <c r="C76" s="197">
        <f t="shared" si="2"/>
        <v>43862</v>
      </c>
      <c r="D76" s="198">
        <f t="shared" si="3"/>
        <v>3934.3405983909115</v>
      </c>
      <c r="E76" s="198">
        <f t="shared" si="4"/>
        <v>74.24586066735246</v>
      </c>
      <c r="F76" s="198">
        <f t="shared" si="5"/>
        <v>57.852774840723661</v>
      </c>
      <c r="G76" s="198">
        <f t="shared" si="6"/>
        <v>16.393085826628798</v>
      </c>
      <c r="H76" s="200">
        <f t="shared" si="7"/>
        <v>3876.4878235501901</v>
      </c>
    </row>
    <row r="77" spans="1:8" ht="16.5">
      <c r="A77" s="177"/>
      <c r="B77" s="199">
        <f t="shared" si="1"/>
        <v>62</v>
      </c>
      <c r="C77" s="197">
        <f t="shared" si="2"/>
        <v>43891</v>
      </c>
      <c r="D77" s="198">
        <f t="shared" si="3"/>
        <v>3876.4878235501901</v>
      </c>
      <c r="E77" s="198">
        <f t="shared" si="4"/>
        <v>74.24586066735246</v>
      </c>
      <c r="F77" s="198">
        <f t="shared" si="5"/>
        <v>58.093828069226667</v>
      </c>
      <c r="G77" s="198">
        <f t="shared" si="6"/>
        <v>16.152032598125793</v>
      </c>
      <c r="H77" s="200">
        <f t="shared" si="7"/>
        <v>3818.3939954809648</v>
      </c>
    </row>
    <row r="78" spans="1:8" ht="16.5">
      <c r="A78" s="177"/>
      <c r="B78" s="199">
        <f t="shared" si="1"/>
        <v>63</v>
      </c>
      <c r="C78" s="197">
        <f t="shared" si="2"/>
        <v>43922</v>
      </c>
      <c r="D78" s="198">
        <f t="shared" si="3"/>
        <v>3818.3939954809648</v>
      </c>
      <c r="E78" s="198">
        <f t="shared" si="4"/>
        <v>74.24586066735246</v>
      </c>
      <c r="F78" s="198">
        <f t="shared" si="5"/>
        <v>58.335885686181776</v>
      </c>
      <c r="G78" s="198">
        <f t="shared" si="6"/>
        <v>15.909974981170686</v>
      </c>
      <c r="H78" s="200">
        <f t="shared" si="7"/>
        <v>3760.0581097947734</v>
      </c>
    </row>
    <row r="79" spans="1:8" ht="16.5">
      <c r="A79" s="177"/>
      <c r="B79" s="199">
        <f t="shared" si="1"/>
        <v>64</v>
      </c>
      <c r="C79" s="197">
        <f t="shared" si="2"/>
        <v>43952</v>
      </c>
      <c r="D79" s="198">
        <f t="shared" si="3"/>
        <v>3760.0581097947734</v>
      </c>
      <c r="E79" s="198">
        <f t="shared" si="4"/>
        <v>74.24586066735246</v>
      </c>
      <c r="F79" s="198">
        <f t="shared" si="5"/>
        <v>58.578951876540906</v>
      </c>
      <c r="G79" s="198">
        <f t="shared" si="6"/>
        <v>15.666908790811556</v>
      </c>
      <c r="H79" s="200">
        <f t="shared" si="7"/>
        <v>3701.4791579182383</v>
      </c>
    </row>
    <row r="80" spans="1:8" ht="16.5">
      <c r="A80" s="177"/>
      <c r="B80" s="199">
        <f t="shared" ref="B80:B143" si="8">IF(Loan_Not_Paid*Values_Entered,Payment_Number,"")</f>
        <v>65</v>
      </c>
      <c r="C80" s="197">
        <f t="shared" ref="C80:C143" si="9">IF(Loan_Not_Paid*Values_Entered,Payment_Date,"")</f>
        <v>43983</v>
      </c>
      <c r="D80" s="198">
        <f t="shared" ref="D80:D143" si="10">IF(Loan_Not_Paid*Values_Entered,Beginning_Balance,"")</f>
        <v>3701.4791579182383</v>
      </c>
      <c r="E80" s="198">
        <f t="shared" ref="E80:E143" si="11">IF(Loan_Not_Paid*Values_Entered,Monthly_Payment,"")</f>
        <v>74.24586066735246</v>
      </c>
      <c r="F80" s="198">
        <f t="shared" ref="F80:F143" si="12">IF(Loan_Not_Paid*Values_Entered,Principal,"")</f>
        <v>58.823030842693136</v>
      </c>
      <c r="G80" s="198">
        <f t="shared" ref="G80:G143" si="13">IF(Loan_Not_Paid*Values_Entered,Interest,"")</f>
        <v>15.422829824659326</v>
      </c>
      <c r="H80" s="200">
        <f t="shared" ref="H80:H143" si="14">IF(Loan_Not_Paid*Values_Entered,Ending_Balance,"")</f>
        <v>3642.6561270755437</v>
      </c>
    </row>
    <row r="81" spans="1:8" ht="16.5">
      <c r="A81" s="177"/>
      <c r="B81" s="199">
        <f t="shared" si="8"/>
        <v>66</v>
      </c>
      <c r="C81" s="197">
        <f t="shared" si="9"/>
        <v>44013</v>
      </c>
      <c r="D81" s="198">
        <f t="shared" si="10"/>
        <v>3642.6561270755437</v>
      </c>
      <c r="E81" s="198">
        <f t="shared" si="11"/>
        <v>74.24586066735246</v>
      </c>
      <c r="F81" s="198">
        <f t="shared" si="12"/>
        <v>59.068126804537698</v>
      </c>
      <c r="G81" s="198">
        <f t="shared" si="13"/>
        <v>15.177733862814765</v>
      </c>
      <c r="H81" s="200">
        <f t="shared" si="14"/>
        <v>3583.5880002710055</v>
      </c>
    </row>
    <row r="82" spans="1:8" ht="16.5">
      <c r="A82" s="177"/>
      <c r="B82" s="199">
        <f t="shared" si="8"/>
        <v>67</v>
      </c>
      <c r="C82" s="197">
        <f t="shared" si="9"/>
        <v>44044</v>
      </c>
      <c r="D82" s="198">
        <f t="shared" si="10"/>
        <v>3583.5880002710055</v>
      </c>
      <c r="E82" s="198">
        <f t="shared" si="11"/>
        <v>74.24586066735246</v>
      </c>
      <c r="F82" s="198">
        <f t="shared" si="12"/>
        <v>59.314243999556602</v>
      </c>
      <c r="G82" s="198">
        <f t="shared" si="13"/>
        <v>14.931616667795856</v>
      </c>
      <c r="H82" s="200">
        <f t="shared" si="14"/>
        <v>3524.2737562714483</v>
      </c>
    </row>
    <row r="83" spans="1:8" ht="16.5">
      <c r="A83" s="177"/>
      <c r="B83" s="199">
        <f t="shared" si="8"/>
        <v>68</v>
      </c>
      <c r="C83" s="197">
        <f t="shared" si="9"/>
        <v>44075</v>
      </c>
      <c r="D83" s="198">
        <f t="shared" si="10"/>
        <v>3524.2737562714483</v>
      </c>
      <c r="E83" s="198">
        <f t="shared" si="11"/>
        <v>74.24586066735246</v>
      </c>
      <c r="F83" s="198">
        <f t="shared" si="12"/>
        <v>59.561386682888092</v>
      </c>
      <c r="G83" s="198">
        <f t="shared" si="13"/>
        <v>14.684473984464368</v>
      </c>
      <c r="H83" s="200">
        <f t="shared" si="14"/>
        <v>3464.7123695885603</v>
      </c>
    </row>
    <row r="84" spans="1:8" ht="16.5">
      <c r="A84" s="177"/>
      <c r="B84" s="199">
        <f t="shared" si="8"/>
        <v>69</v>
      </c>
      <c r="C84" s="197">
        <f t="shared" si="9"/>
        <v>44105</v>
      </c>
      <c r="D84" s="198">
        <f t="shared" si="10"/>
        <v>3464.7123695885603</v>
      </c>
      <c r="E84" s="198">
        <f t="shared" si="11"/>
        <v>74.24586066735246</v>
      </c>
      <c r="F84" s="198">
        <f t="shared" si="12"/>
        <v>59.809559127400128</v>
      </c>
      <c r="G84" s="198">
        <f t="shared" si="13"/>
        <v>14.436301539952334</v>
      </c>
      <c r="H84" s="200">
        <f t="shared" si="14"/>
        <v>3404.9028104611625</v>
      </c>
    </row>
    <row r="85" spans="1:8" ht="16.5">
      <c r="A85" s="177"/>
      <c r="B85" s="199">
        <f t="shared" si="8"/>
        <v>70</v>
      </c>
      <c r="C85" s="197">
        <f t="shared" si="9"/>
        <v>44136</v>
      </c>
      <c r="D85" s="198">
        <f t="shared" si="10"/>
        <v>3404.9028104611625</v>
      </c>
      <c r="E85" s="198">
        <f t="shared" si="11"/>
        <v>74.24586066735246</v>
      </c>
      <c r="F85" s="198">
        <f t="shared" si="12"/>
        <v>60.05876562376428</v>
      </c>
      <c r="G85" s="198">
        <f t="shared" si="13"/>
        <v>14.187095043588178</v>
      </c>
      <c r="H85" s="200">
        <f t="shared" si="14"/>
        <v>3344.8440448373976</v>
      </c>
    </row>
    <row r="86" spans="1:8" ht="16.5">
      <c r="A86" s="177"/>
      <c r="B86" s="199">
        <f t="shared" si="8"/>
        <v>71</v>
      </c>
      <c r="C86" s="197">
        <f t="shared" si="9"/>
        <v>44166</v>
      </c>
      <c r="D86" s="198">
        <f t="shared" si="10"/>
        <v>3344.8440448373976</v>
      </c>
      <c r="E86" s="198">
        <f t="shared" si="11"/>
        <v>74.24586066735246</v>
      </c>
      <c r="F86" s="198">
        <f t="shared" si="12"/>
        <v>60.30901048052997</v>
      </c>
      <c r="G86" s="198">
        <f t="shared" si="13"/>
        <v>13.93685018682249</v>
      </c>
      <c r="H86" s="200">
        <f t="shared" si="14"/>
        <v>3284.5350343568643</v>
      </c>
    </row>
    <row r="87" spans="1:8" ht="16.5">
      <c r="A87" s="177"/>
      <c r="B87" s="199">
        <f t="shared" si="8"/>
        <v>72</v>
      </c>
      <c r="C87" s="197">
        <f t="shared" si="9"/>
        <v>44197</v>
      </c>
      <c r="D87" s="198">
        <f t="shared" si="10"/>
        <v>3284.5350343568643</v>
      </c>
      <c r="E87" s="198">
        <f t="shared" si="11"/>
        <v>74.24586066735246</v>
      </c>
      <c r="F87" s="198">
        <f t="shared" si="12"/>
        <v>60.560298024198858</v>
      </c>
      <c r="G87" s="198">
        <f t="shared" si="13"/>
        <v>13.685562643153601</v>
      </c>
      <c r="H87" s="200">
        <f t="shared" si="14"/>
        <v>3223.9747363326678</v>
      </c>
    </row>
    <row r="88" spans="1:8" ht="16.5">
      <c r="A88" s="177"/>
      <c r="B88" s="199">
        <f t="shared" si="8"/>
        <v>73</v>
      </c>
      <c r="C88" s="197">
        <f t="shared" si="9"/>
        <v>44228</v>
      </c>
      <c r="D88" s="198">
        <f t="shared" si="10"/>
        <v>3223.9747363326678</v>
      </c>
      <c r="E88" s="198">
        <f t="shared" si="11"/>
        <v>74.24586066735246</v>
      </c>
      <c r="F88" s="198">
        <f t="shared" si="12"/>
        <v>60.812632599299675</v>
      </c>
      <c r="G88" s="198">
        <f t="shared" si="13"/>
        <v>13.433228068052783</v>
      </c>
      <c r="H88" s="200">
        <f t="shared" si="14"/>
        <v>3163.1621037333671</v>
      </c>
    </row>
    <row r="89" spans="1:8" ht="16.5">
      <c r="A89" s="177"/>
      <c r="B89" s="199">
        <f t="shared" si="8"/>
        <v>74</v>
      </c>
      <c r="C89" s="197">
        <f t="shared" si="9"/>
        <v>44256</v>
      </c>
      <c r="D89" s="198">
        <f t="shared" si="10"/>
        <v>3163.1621037333671</v>
      </c>
      <c r="E89" s="198">
        <f t="shared" si="11"/>
        <v>74.24586066735246</v>
      </c>
      <c r="F89" s="198">
        <f t="shared" si="12"/>
        <v>61.066018568463434</v>
      </c>
      <c r="G89" s="198">
        <f t="shared" si="13"/>
        <v>13.179842098889029</v>
      </c>
      <c r="H89" s="200">
        <f t="shared" si="14"/>
        <v>3102.0960851649024</v>
      </c>
    </row>
    <row r="90" spans="1:8" ht="16.5">
      <c r="A90" s="177"/>
      <c r="B90" s="199">
        <f t="shared" si="8"/>
        <v>75</v>
      </c>
      <c r="C90" s="197">
        <f t="shared" si="9"/>
        <v>44287</v>
      </c>
      <c r="D90" s="198">
        <f t="shared" si="10"/>
        <v>3102.0960851649024</v>
      </c>
      <c r="E90" s="198">
        <f t="shared" si="11"/>
        <v>74.24586066735246</v>
      </c>
      <c r="F90" s="198">
        <f t="shared" si="12"/>
        <v>61.320460312498696</v>
      </c>
      <c r="G90" s="198">
        <f t="shared" si="13"/>
        <v>12.92540035485376</v>
      </c>
      <c r="H90" s="200">
        <f t="shared" si="14"/>
        <v>3040.7756248524056</v>
      </c>
    </row>
    <row r="91" spans="1:8" ht="16.5">
      <c r="A91" s="177"/>
      <c r="B91" s="199">
        <f t="shared" si="8"/>
        <v>76</v>
      </c>
      <c r="C91" s="197">
        <f t="shared" si="9"/>
        <v>44317</v>
      </c>
      <c r="D91" s="198">
        <f t="shared" si="10"/>
        <v>3040.7756248524056</v>
      </c>
      <c r="E91" s="198">
        <f t="shared" si="11"/>
        <v>74.24586066735246</v>
      </c>
      <c r="F91" s="198">
        <f t="shared" si="12"/>
        <v>61.575962230467439</v>
      </c>
      <c r="G91" s="198">
        <f t="shared" si="13"/>
        <v>12.669898436885024</v>
      </c>
      <c r="H91" s="200">
        <f t="shared" si="14"/>
        <v>2979.1996626219379</v>
      </c>
    </row>
    <row r="92" spans="1:8" ht="16.5">
      <c r="A92" s="177"/>
      <c r="B92" s="199">
        <f t="shared" si="8"/>
        <v>77</v>
      </c>
      <c r="C92" s="197">
        <f t="shared" si="9"/>
        <v>44348</v>
      </c>
      <c r="D92" s="198">
        <f t="shared" si="10"/>
        <v>2979.1996626219379</v>
      </c>
      <c r="E92" s="198">
        <f t="shared" si="11"/>
        <v>74.24586066735246</v>
      </c>
      <c r="F92" s="198">
        <f t="shared" si="12"/>
        <v>61.832528739761052</v>
      </c>
      <c r="G92" s="198">
        <f t="shared" si="13"/>
        <v>12.413331927591408</v>
      </c>
      <c r="H92" s="200">
        <f t="shared" si="14"/>
        <v>2917.3671338821796</v>
      </c>
    </row>
    <row r="93" spans="1:8" ht="16.5">
      <c r="A93" s="177"/>
      <c r="B93" s="199">
        <f t="shared" si="8"/>
        <v>78</v>
      </c>
      <c r="C93" s="197">
        <f t="shared" si="9"/>
        <v>44378</v>
      </c>
      <c r="D93" s="198">
        <f t="shared" si="10"/>
        <v>2917.3671338821796</v>
      </c>
      <c r="E93" s="198">
        <f t="shared" si="11"/>
        <v>74.24586066735246</v>
      </c>
      <c r="F93" s="198">
        <f t="shared" si="12"/>
        <v>62.090164276176708</v>
      </c>
      <c r="G93" s="198">
        <f t="shared" si="13"/>
        <v>12.155696391175749</v>
      </c>
      <c r="H93" s="200">
        <f t="shared" si="14"/>
        <v>2855.2769696060004</v>
      </c>
    </row>
    <row r="94" spans="1:8" ht="16.5">
      <c r="A94" s="177"/>
      <c r="B94" s="199">
        <f t="shared" si="8"/>
        <v>79</v>
      </c>
      <c r="C94" s="197">
        <f t="shared" si="9"/>
        <v>44409</v>
      </c>
      <c r="D94" s="198">
        <f t="shared" si="10"/>
        <v>2855.2769696060004</v>
      </c>
      <c r="E94" s="198">
        <f t="shared" si="11"/>
        <v>74.24586066735246</v>
      </c>
      <c r="F94" s="198">
        <f t="shared" si="12"/>
        <v>62.348873293994124</v>
      </c>
      <c r="G94" s="198">
        <f t="shared" si="13"/>
        <v>11.896987373358336</v>
      </c>
      <c r="H94" s="200">
        <f t="shared" si="14"/>
        <v>2792.9280963120027</v>
      </c>
    </row>
    <row r="95" spans="1:8" ht="16.5">
      <c r="A95" s="177"/>
      <c r="B95" s="199">
        <f t="shared" si="8"/>
        <v>80</v>
      </c>
      <c r="C95" s="197">
        <f t="shared" si="9"/>
        <v>44440</v>
      </c>
      <c r="D95" s="198">
        <f t="shared" si="10"/>
        <v>2792.9280963120027</v>
      </c>
      <c r="E95" s="198">
        <f t="shared" si="11"/>
        <v>74.24586066735246</v>
      </c>
      <c r="F95" s="198">
        <f t="shared" si="12"/>
        <v>62.608660266052446</v>
      </c>
      <c r="G95" s="198">
        <f t="shared" si="13"/>
        <v>11.637200401300012</v>
      </c>
      <c r="H95" s="200">
        <f t="shared" si="14"/>
        <v>2730.319436045952</v>
      </c>
    </row>
    <row r="96" spans="1:8" ht="16.5">
      <c r="A96" s="177"/>
      <c r="B96" s="199">
        <f t="shared" si="8"/>
        <v>81</v>
      </c>
      <c r="C96" s="197">
        <f t="shared" si="9"/>
        <v>44470</v>
      </c>
      <c r="D96" s="198">
        <f t="shared" si="10"/>
        <v>2730.319436045952</v>
      </c>
      <c r="E96" s="198">
        <f t="shared" si="11"/>
        <v>74.24586066735246</v>
      </c>
      <c r="F96" s="198">
        <f t="shared" si="12"/>
        <v>62.869529683827658</v>
      </c>
      <c r="G96" s="198">
        <f t="shared" si="13"/>
        <v>11.376330983524801</v>
      </c>
      <c r="H96" s="200">
        <f t="shared" si="14"/>
        <v>2667.4499063621242</v>
      </c>
    </row>
    <row r="97" spans="1:8" ht="16.5">
      <c r="A97" s="177"/>
      <c r="B97" s="199">
        <f t="shared" si="8"/>
        <v>82</v>
      </c>
      <c r="C97" s="197">
        <f t="shared" si="9"/>
        <v>44501</v>
      </c>
      <c r="D97" s="198">
        <f t="shared" si="10"/>
        <v>2667.4499063621242</v>
      </c>
      <c r="E97" s="198">
        <f t="shared" si="11"/>
        <v>74.24586066735246</v>
      </c>
      <c r="F97" s="198">
        <f t="shared" si="12"/>
        <v>63.131486057510273</v>
      </c>
      <c r="G97" s="198">
        <f t="shared" si="13"/>
        <v>11.114374609842184</v>
      </c>
      <c r="H97" s="200">
        <f t="shared" si="14"/>
        <v>2604.3184203046148</v>
      </c>
    </row>
    <row r="98" spans="1:8" ht="16.5">
      <c r="A98" s="177"/>
      <c r="B98" s="199">
        <f t="shared" si="8"/>
        <v>83</v>
      </c>
      <c r="C98" s="197">
        <f t="shared" si="9"/>
        <v>44531</v>
      </c>
      <c r="D98" s="198">
        <f t="shared" si="10"/>
        <v>2604.3184203046148</v>
      </c>
      <c r="E98" s="198">
        <f t="shared" si="11"/>
        <v>74.24586066735246</v>
      </c>
      <c r="F98" s="198">
        <f t="shared" si="12"/>
        <v>63.394533916083233</v>
      </c>
      <c r="G98" s="198">
        <f t="shared" si="13"/>
        <v>10.851326751269228</v>
      </c>
      <c r="H98" s="200">
        <f t="shared" si="14"/>
        <v>2540.9238863885294</v>
      </c>
    </row>
    <row r="99" spans="1:8" ht="16.5">
      <c r="A99" s="177"/>
      <c r="B99" s="199">
        <f t="shared" si="8"/>
        <v>84</v>
      </c>
      <c r="C99" s="197">
        <f t="shared" si="9"/>
        <v>44562</v>
      </c>
      <c r="D99" s="198">
        <f t="shared" si="10"/>
        <v>2540.9238863885294</v>
      </c>
      <c r="E99" s="198">
        <f t="shared" si="11"/>
        <v>74.24586066735246</v>
      </c>
      <c r="F99" s="198">
        <f t="shared" si="12"/>
        <v>63.658677807400252</v>
      </c>
      <c r="G99" s="198">
        <f t="shared" si="13"/>
        <v>10.587182859952206</v>
      </c>
      <c r="H99" s="200">
        <f t="shared" si="14"/>
        <v>2477.2652085811305</v>
      </c>
    </row>
    <row r="100" spans="1:8" ht="16.5">
      <c r="A100" s="177"/>
      <c r="B100" s="199">
        <f t="shared" si="8"/>
        <v>85</v>
      </c>
      <c r="C100" s="197">
        <f t="shared" si="9"/>
        <v>44593</v>
      </c>
      <c r="D100" s="198">
        <f t="shared" si="10"/>
        <v>2477.2652085811305</v>
      </c>
      <c r="E100" s="198">
        <f t="shared" si="11"/>
        <v>74.24586066735246</v>
      </c>
      <c r="F100" s="198">
        <f t="shared" si="12"/>
        <v>63.923922298264415</v>
      </c>
      <c r="G100" s="198">
        <f t="shared" si="13"/>
        <v>10.321938369088043</v>
      </c>
      <c r="H100" s="200">
        <f t="shared" si="14"/>
        <v>2413.3412862828627</v>
      </c>
    </row>
    <row r="101" spans="1:8" ht="16.5">
      <c r="A101" s="177"/>
      <c r="B101" s="199">
        <f t="shared" si="8"/>
        <v>86</v>
      </c>
      <c r="C101" s="197">
        <f t="shared" si="9"/>
        <v>44621</v>
      </c>
      <c r="D101" s="198">
        <f t="shared" si="10"/>
        <v>2413.3412862828627</v>
      </c>
      <c r="E101" s="198">
        <f t="shared" si="11"/>
        <v>74.24586066735246</v>
      </c>
      <c r="F101" s="198">
        <f t="shared" si="12"/>
        <v>64.190271974507198</v>
      </c>
      <c r="G101" s="198">
        <f t="shared" si="13"/>
        <v>10.05558869284526</v>
      </c>
      <c r="H101" s="200">
        <f t="shared" si="14"/>
        <v>2349.1510143083578</v>
      </c>
    </row>
    <row r="102" spans="1:8" ht="16.5">
      <c r="A102" s="177"/>
      <c r="B102" s="199">
        <f t="shared" si="8"/>
        <v>87</v>
      </c>
      <c r="C102" s="197">
        <f t="shared" si="9"/>
        <v>44652</v>
      </c>
      <c r="D102" s="198">
        <f t="shared" si="10"/>
        <v>2349.1510143083578</v>
      </c>
      <c r="E102" s="198">
        <f t="shared" si="11"/>
        <v>74.24586066735246</v>
      </c>
      <c r="F102" s="198">
        <f t="shared" si="12"/>
        <v>64.457731441067637</v>
      </c>
      <c r="G102" s="198">
        <f t="shared" si="13"/>
        <v>9.7881292262848234</v>
      </c>
      <c r="H102" s="200">
        <f t="shared" si="14"/>
        <v>2284.6932828672852</v>
      </c>
    </row>
    <row r="103" spans="1:8" ht="16.5">
      <c r="A103" s="177"/>
      <c r="B103" s="199">
        <f t="shared" si="8"/>
        <v>88</v>
      </c>
      <c r="C103" s="197">
        <f t="shared" si="9"/>
        <v>44682</v>
      </c>
      <c r="D103" s="198">
        <f t="shared" si="10"/>
        <v>2284.6932828672852</v>
      </c>
      <c r="E103" s="198">
        <f t="shared" si="11"/>
        <v>74.24586066735246</v>
      </c>
      <c r="F103" s="198">
        <f t="shared" si="12"/>
        <v>64.726305322072108</v>
      </c>
      <c r="G103" s="198">
        <f t="shared" si="13"/>
        <v>9.5195553452803559</v>
      </c>
      <c r="H103" s="200">
        <f t="shared" si="14"/>
        <v>2219.9669775452157</v>
      </c>
    </row>
    <row r="104" spans="1:8" ht="16.5">
      <c r="A104" s="177"/>
      <c r="B104" s="199">
        <f t="shared" si="8"/>
        <v>89</v>
      </c>
      <c r="C104" s="197">
        <f t="shared" si="9"/>
        <v>44713</v>
      </c>
      <c r="D104" s="198">
        <f t="shared" si="10"/>
        <v>2219.9669775452157</v>
      </c>
      <c r="E104" s="198">
        <f t="shared" si="11"/>
        <v>74.24586066735246</v>
      </c>
      <c r="F104" s="198">
        <f t="shared" si="12"/>
        <v>64.995998260914064</v>
      </c>
      <c r="G104" s="198">
        <f t="shared" si="13"/>
        <v>9.2498624064383996</v>
      </c>
      <c r="H104" s="200">
        <f t="shared" si="14"/>
        <v>2154.970979284305</v>
      </c>
    </row>
    <row r="105" spans="1:8" ht="16.5">
      <c r="A105" s="177"/>
      <c r="B105" s="199">
        <f t="shared" si="8"/>
        <v>90</v>
      </c>
      <c r="C105" s="197">
        <f t="shared" si="9"/>
        <v>44743</v>
      </c>
      <c r="D105" s="198">
        <f t="shared" si="10"/>
        <v>2154.970979284305</v>
      </c>
      <c r="E105" s="198">
        <f t="shared" si="11"/>
        <v>74.24586066735246</v>
      </c>
      <c r="F105" s="198">
        <f t="shared" si="12"/>
        <v>65.266814920334525</v>
      </c>
      <c r="G105" s="198">
        <f t="shared" si="13"/>
        <v>8.9790457470179383</v>
      </c>
      <c r="H105" s="200">
        <f t="shared" si="14"/>
        <v>2089.7041643639668</v>
      </c>
    </row>
    <row r="106" spans="1:8" ht="16.5">
      <c r="A106" s="177"/>
      <c r="B106" s="199">
        <f t="shared" si="8"/>
        <v>91</v>
      </c>
      <c r="C106" s="197">
        <f t="shared" si="9"/>
        <v>44774</v>
      </c>
      <c r="D106" s="198">
        <f t="shared" si="10"/>
        <v>2089.7041643639668</v>
      </c>
      <c r="E106" s="198">
        <f t="shared" si="11"/>
        <v>74.24586066735246</v>
      </c>
      <c r="F106" s="198">
        <f t="shared" si="12"/>
        <v>65.538759982502597</v>
      </c>
      <c r="G106" s="198">
        <f t="shared" si="13"/>
        <v>8.7071006848498609</v>
      </c>
      <c r="H106" s="200">
        <f t="shared" si="14"/>
        <v>2024.1654043814669</v>
      </c>
    </row>
    <row r="107" spans="1:8" ht="16.5">
      <c r="A107" s="177"/>
      <c r="B107" s="199">
        <f t="shared" si="8"/>
        <v>92</v>
      </c>
      <c r="C107" s="197">
        <f t="shared" si="9"/>
        <v>44805</v>
      </c>
      <c r="D107" s="198">
        <f t="shared" si="10"/>
        <v>2024.1654043814669</v>
      </c>
      <c r="E107" s="198">
        <f t="shared" si="11"/>
        <v>74.24586066735246</v>
      </c>
      <c r="F107" s="198">
        <f t="shared" si="12"/>
        <v>65.811838149096346</v>
      </c>
      <c r="G107" s="198">
        <f t="shared" si="13"/>
        <v>8.4340225182561124</v>
      </c>
      <c r="H107" s="200">
        <f t="shared" si="14"/>
        <v>1958.3535662323702</v>
      </c>
    </row>
    <row r="108" spans="1:8" ht="16.5">
      <c r="A108" s="177"/>
      <c r="B108" s="199">
        <f t="shared" si="8"/>
        <v>93</v>
      </c>
      <c r="C108" s="197">
        <f t="shared" si="9"/>
        <v>44835</v>
      </c>
      <c r="D108" s="198">
        <f t="shared" si="10"/>
        <v>1958.3535662323702</v>
      </c>
      <c r="E108" s="198">
        <f t="shared" si="11"/>
        <v>74.24586066735246</v>
      </c>
      <c r="F108" s="198">
        <f t="shared" si="12"/>
        <v>66.086054141384253</v>
      </c>
      <c r="G108" s="198">
        <f t="shared" si="13"/>
        <v>8.1598065259682091</v>
      </c>
      <c r="H108" s="200">
        <f t="shared" si="14"/>
        <v>1892.2675120909862</v>
      </c>
    </row>
    <row r="109" spans="1:8" ht="16.5">
      <c r="A109" s="177"/>
      <c r="B109" s="199">
        <f t="shared" si="8"/>
        <v>94</v>
      </c>
      <c r="C109" s="197">
        <f t="shared" si="9"/>
        <v>44866</v>
      </c>
      <c r="D109" s="198">
        <f t="shared" si="10"/>
        <v>1892.2675120909862</v>
      </c>
      <c r="E109" s="198">
        <f t="shared" si="11"/>
        <v>74.24586066735246</v>
      </c>
      <c r="F109" s="198">
        <f t="shared" si="12"/>
        <v>66.361412700306687</v>
      </c>
      <c r="G109" s="198">
        <f t="shared" si="13"/>
        <v>7.8844479670457757</v>
      </c>
      <c r="H109" s="200">
        <f t="shared" si="14"/>
        <v>1825.9060993906805</v>
      </c>
    </row>
    <row r="110" spans="1:8" ht="16.5">
      <c r="A110" s="177"/>
      <c r="B110" s="199">
        <f t="shared" si="8"/>
        <v>95</v>
      </c>
      <c r="C110" s="197">
        <f t="shared" si="9"/>
        <v>44896</v>
      </c>
      <c r="D110" s="198">
        <f t="shared" si="10"/>
        <v>1825.9060993906805</v>
      </c>
      <c r="E110" s="198">
        <f t="shared" si="11"/>
        <v>74.24586066735246</v>
      </c>
      <c r="F110" s="198">
        <f t="shared" si="12"/>
        <v>66.637918586557959</v>
      </c>
      <c r="G110" s="198">
        <f t="shared" si="13"/>
        <v>7.6079420807945022</v>
      </c>
      <c r="H110" s="200">
        <f t="shared" si="14"/>
        <v>1759.2681808041125</v>
      </c>
    </row>
    <row r="111" spans="1:8" ht="16.5">
      <c r="A111" s="177"/>
      <c r="B111" s="199">
        <f t="shared" si="8"/>
        <v>96</v>
      </c>
      <c r="C111" s="197">
        <f t="shared" si="9"/>
        <v>44927</v>
      </c>
      <c r="D111" s="198">
        <f t="shared" si="10"/>
        <v>1759.2681808041125</v>
      </c>
      <c r="E111" s="198">
        <f t="shared" si="11"/>
        <v>74.24586066735246</v>
      </c>
      <c r="F111" s="198">
        <f t="shared" si="12"/>
        <v>66.915576580668656</v>
      </c>
      <c r="G111" s="198">
        <f t="shared" si="13"/>
        <v>7.3302840866838022</v>
      </c>
      <c r="H111" s="200">
        <f t="shared" si="14"/>
        <v>1692.3526042234498</v>
      </c>
    </row>
    <row r="112" spans="1:8" ht="16.5">
      <c r="A112" s="177"/>
      <c r="B112" s="199">
        <f t="shared" si="8"/>
        <v>97</v>
      </c>
      <c r="C112" s="197">
        <f t="shared" si="9"/>
        <v>44958</v>
      </c>
      <c r="D112" s="198">
        <f t="shared" si="10"/>
        <v>1692.3526042234498</v>
      </c>
      <c r="E112" s="198">
        <f t="shared" si="11"/>
        <v>74.24586066735246</v>
      </c>
      <c r="F112" s="198">
        <f t="shared" si="12"/>
        <v>67.194391483088083</v>
      </c>
      <c r="G112" s="198">
        <f t="shared" si="13"/>
        <v>7.0514691842643744</v>
      </c>
      <c r="H112" s="200">
        <f t="shared" si="14"/>
        <v>1625.1582127403617</v>
      </c>
    </row>
    <row r="113" spans="1:8" ht="16.5">
      <c r="A113" s="177"/>
      <c r="B113" s="199">
        <f t="shared" si="8"/>
        <v>98</v>
      </c>
      <c r="C113" s="197">
        <f t="shared" si="9"/>
        <v>44986</v>
      </c>
      <c r="D113" s="198">
        <f t="shared" si="10"/>
        <v>1625.1582127403617</v>
      </c>
      <c r="E113" s="198">
        <f t="shared" si="11"/>
        <v>74.24586066735246</v>
      </c>
      <c r="F113" s="198">
        <f t="shared" si="12"/>
        <v>67.474368114267619</v>
      </c>
      <c r="G113" s="198">
        <f t="shared" si="13"/>
        <v>6.7714925530848404</v>
      </c>
      <c r="H113" s="200">
        <f t="shared" si="14"/>
        <v>1557.6838446260954</v>
      </c>
    </row>
    <row r="114" spans="1:8" ht="16.5">
      <c r="A114" s="177"/>
      <c r="B114" s="199">
        <f t="shared" si="8"/>
        <v>99</v>
      </c>
      <c r="C114" s="197">
        <f t="shared" si="9"/>
        <v>45017</v>
      </c>
      <c r="D114" s="198">
        <f t="shared" si="10"/>
        <v>1557.6838446260954</v>
      </c>
      <c r="E114" s="198">
        <f t="shared" si="11"/>
        <v>74.24586066735246</v>
      </c>
      <c r="F114" s="198">
        <f t="shared" si="12"/>
        <v>67.755511314743728</v>
      </c>
      <c r="G114" s="198">
        <f t="shared" si="13"/>
        <v>6.4903493526087308</v>
      </c>
      <c r="H114" s="200">
        <f t="shared" si="14"/>
        <v>1489.9283333113472</v>
      </c>
    </row>
    <row r="115" spans="1:8" ht="16.5">
      <c r="A115" s="177"/>
      <c r="B115" s="199">
        <f t="shared" si="8"/>
        <v>100</v>
      </c>
      <c r="C115" s="197">
        <f t="shared" si="9"/>
        <v>45047</v>
      </c>
      <c r="D115" s="198">
        <f t="shared" si="10"/>
        <v>1489.9283333113472</v>
      </c>
      <c r="E115" s="198">
        <f t="shared" si="11"/>
        <v>74.24586066735246</v>
      </c>
      <c r="F115" s="198">
        <f t="shared" si="12"/>
        <v>68.03782594522184</v>
      </c>
      <c r="G115" s="198">
        <f t="shared" si="13"/>
        <v>6.2080347221306127</v>
      </c>
      <c r="H115" s="200">
        <f t="shared" si="14"/>
        <v>1421.8905073661299</v>
      </c>
    </row>
    <row r="116" spans="1:8" ht="16.5">
      <c r="A116" s="177"/>
      <c r="B116" s="199">
        <f t="shared" si="8"/>
        <v>101</v>
      </c>
      <c r="C116" s="197">
        <f t="shared" si="9"/>
        <v>45078</v>
      </c>
      <c r="D116" s="198">
        <f t="shared" si="10"/>
        <v>1421.8905073661299</v>
      </c>
      <c r="E116" s="198">
        <f t="shared" si="11"/>
        <v>74.24586066735246</v>
      </c>
      <c r="F116" s="198">
        <f t="shared" si="12"/>
        <v>68.321316886660256</v>
      </c>
      <c r="G116" s="198">
        <f t="shared" si="13"/>
        <v>5.9245437806922077</v>
      </c>
      <c r="H116" s="200">
        <f t="shared" si="14"/>
        <v>1353.5691904794694</v>
      </c>
    </row>
    <row r="117" spans="1:8" ht="16.5">
      <c r="A117" s="177"/>
      <c r="B117" s="199">
        <f t="shared" si="8"/>
        <v>102</v>
      </c>
      <c r="C117" s="197">
        <f t="shared" si="9"/>
        <v>45108</v>
      </c>
      <c r="D117" s="198">
        <f t="shared" si="10"/>
        <v>1353.5691904794694</v>
      </c>
      <c r="E117" s="198">
        <f t="shared" si="11"/>
        <v>74.24586066735246</v>
      </c>
      <c r="F117" s="198">
        <f t="shared" si="12"/>
        <v>68.605989040354672</v>
      </c>
      <c r="G117" s="198">
        <f t="shared" si="13"/>
        <v>5.6398716269977891</v>
      </c>
      <c r="H117" s="200">
        <f t="shared" si="14"/>
        <v>1284.9632014391118</v>
      </c>
    </row>
    <row r="118" spans="1:8" ht="16.5">
      <c r="A118" s="177"/>
      <c r="B118" s="199">
        <f t="shared" si="8"/>
        <v>103</v>
      </c>
      <c r="C118" s="197">
        <f t="shared" si="9"/>
        <v>45139</v>
      </c>
      <c r="D118" s="198">
        <f t="shared" si="10"/>
        <v>1284.9632014391118</v>
      </c>
      <c r="E118" s="198">
        <f t="shared" si="11"/>
        <v>74.24586066735246</v>
      </c>
      <c r="F118" s="198">
        <f t="shared" si="12"/>
        <v>68.891847328022834</v>
      </c>
      <c r="G118" s="198">
        <f t="shared" si="13"/>
        <v>5.3540133393296321</v>
      </c>
      <c r="H118" s="200">
        <f t="shared" si="14"/>
        <v>1216.071354111089</v>
      </c>
    </row>
    <row r="119" spans="1:8" ht="16.5">
      <c r="A119" s="177"/>
      <c r="B119" s="199">
        <f t="shared" si="8"/>
        <v>104</v>
      </c>
      <c r="C119" s="197">
        <f t="shared" si="9"/>
        <v>45170</v>
      </c>
      <c r="D119" s="198">
        <f t="shared" si="10"/>
        <v>1216.071354111089</v>
      </c>
      <c r="E119" s="198">
        <f t="shared" si="11"/>
        <v>74.24586066735246</v>
      </c>
      <c r="F119" s="198">
        <f t="shared" si="12"/>
        <v>69.178896691889591</v>
      </c>
      <c r="G119" s="198">
        <f t="shared" si="13"/>
        <v>5.0669639754628708</v>
      </c>
      <c r="H119" s="200">
        <f t="shared" si="14"/>
        <v>1146.8924574192006</v>
      </c>
    </row>
    <row r="120" spans="1:8" ht="16.5">
      <c r="A120" s="177"/>
      <c r="B120" s="199">
        <f t="shared" si="8"/>
        <v>105</v>
      </c>
      <c r="C120" s="197">
        <f t="shared" si="9"/>
        <v>45200</v>
      </c>
      <c r="D120" s="198">
        <f t="shared" si="10"/>
        <v>1146.8924574192006</v>
      </c>
      <c r="E120" s="198">
        <f t="shared" si="11"/>
        <v>74.24586066735246</v>
      </c>
      <c r="F120" s="198">
        <f t="shared" si="12"/>
        <v>69.467142094772456</v>
      </c>
      <c r="G120" s="198">
        <f t="shared" si="13"/>
        <v>4.7787185725800025</v>
      </c>
      <c r="H120" s="200">
        <f t="shared" si="14"/>
        <v>1077.4253153244317</v>
      </c>
    </row>
    <row r="121" spans="1:8" ht="16.5">
      <c r="A121" s="177"/>
      <c r="B121" s="199">
        <f t="shared" si="8"/>
        <v>106</v>
      </c>
      <c r="C121" s="197">
        <f t="shared" si="9"/>
        <v>45231</v>
      </c>
      <c r="D121" s="198">
        <f t="shared" si="10"/>
        <v>1077.4253153244317</v>
      </c>
      <c r="E121" s="198">
        <f t="shared" si="11"/>
        <v>74.24586066735246</v>
      </c>
      <c r="F121" s="198">
        <f t="shared" si="12"/>
        <v>69.756588520167327</v>
      </c>
      <c r="G121" s="198">
        <f t="shared" si="13"/>
        <v>4.4892721471851322</v>
      </c>
      <c r="H121" s="200">
        <f t="shared" si="14"/>
        <v>1007.6687268042551</v>
      </c>
    </row>
    <row r="122" spans="1:8" ht="16.5">
      <c r="A122" s="177"/>
      <c r="B122" s="199">
        <f t="shared" si="8"/>
        <v>107</v>
      </c>
      <c r="C122" s="197">
        <f t="shared" si="9"/>
        <v>45261</v>
      </c>
      <c r="D122" s="198">
        <f t="shared" si="10"/>
        <v>1007.6687268042551</v>
      </c>
      <c r="E122" s="198">
        <f t="shared" si="11"/>
        <v>74.24586066735246</v>
      </c>
      <c r="F122" s="198">
        <f t="shared" si="12"/>
        <v>70.047240972334734</v>
      </c>
      <c r="G122" s="198">
        <f t="shared" si="13"/>
        <v>4.1986196950177295</v>
      </c>
      <c r="H122" s="200">
        <f t="shared" si="14"/>
        <v>937.62148583192538</v>
      </c>
    </row>
    <row r="123" spans="1:8" ht="16.5">
      <c r="A123" s="177"/>
      <c r="B123" s="199">
        <f t="shared" si="8"/>
        <v>108</v>
      </c>
      <c r="C123" s="197">
        <f t="shared" si="9"/>
        <v>45292</v>
      </c>
      <c r="D123" s="198">
        <f t="shared" si="10"/>
        <v>937.62148583192538</v>
      </c>
      <c r="E123" s="198">
        <f t="shared" si="11"/>
        <v>74.24586066735246</v>
      </c>
      <c r="F123" s="198">
        <f t="shared" si="12"/>
        <v>70.339104476386098</v>
      </c>
      <c r="G123" s="198">
        <f t="shared" si="13"/>
        <v>3.9067561909663557</v>
      </c>
      <c r="H123" s="200">
        <f t="shared" si="14"/>
        <v>867.28238135553875</v>
      </c>
    </row>
    <row r="124" spans="1:8" ht="16.5">
      <c r="A124" s="177"/>
      <c r="B124" s="199">
        <f t="shared" si="8"/>
        <v>109</v>
      </c>
      <c r="C124" s="197">
        <f t="shared" si="9"/>
        <v>45323</v>
      </c>
      <c r="D124" s="198">
        <f t="shared" si="10"/>
        <v>867.28238135553875</v>
      </c>
      <c r="E124" s="198">
        <f t="shared" si="11"/>
        <v>74.24586066735246</v>
      </c>
      <c r="F124" s="198">
        <f t="shared" si="12"/>
        <v>70.632184078371054</v>
      </c>
      <c r="G124" s="198">
        <f t="shared" si="13"/>
        <v>3.6136765889814115</v>
      </c>
      <c r="H124" s="200">
        <f t="shared" si="14"/>
        <v>796.65019727716754</v>
      </c>
    </row>
    <row r="125" spans="1:8" ht="16.5">
      <c r="A125" s="177"/>
      <c r="B125" s="199">
        <f t="shared" si="8"/>
        <v>110</v>
      </c>
      <c r="C125" s="197">
        <f t="shared" si="9"/>
        <v>45352</v>
      </c>
      <c r="D125" s="198">
        <f t="shared" si="10"/>
        <v>796.65019727716754</v>
      </c>
      <c r="E125" s="198">
        <f t="shared" si="11"/>
        <v>74.24586066735246</v>
      </c>
      <c r="F125" s="198">
        <f t="shared" si="12"/>
        <v>70.926484845364257</v>
      </c>
      <c r="G125" s="198">
        <f t="shared" si="13"/>
        <v>3.3193758219881979</v>
      </c>
      <c r="H125" s="200">
        <f t="shared" si="14"/>
        <v>725.72371243180532</v>
      </c>
    </row>
    <row r="126" spans="1:8" ht="16.5">
      <c r="A126" s="177"/>
      <c r="B126" s="199">
        <f t="shared" si="8"/>
        <v>111</v>
      </c>
      <c r="C126" s="197">
        <f t="shared" si="9"/>
        <v>45383</v>
      </c>
      <c r="D126" s="198">
        <f t="shared" si="10"/>
        <v>725.72371243180532</v>
      </c>
      <c r="E126" s="198">
        <f t="shared" si="11"/>
        <v>74.24586066735246</v>
      </c>
      <c r="F126" s="198">
        <f t="shared" si="12"/>
        <v>71.22201186555327</v>
      </c>
      <c r="G126" s="198">
        <f t="shared" si="13"/>
        <v>3.0238488017991889</v>
      </c>
      <c r="H126" s="200">
        <f t="shared" si="14"/>
        <v>654.50170056624665</v>
      </c>
    </row>
    <row r="127" spans="1:8" ht="16.5">
      <c r="A127" s="177"/>
      <c r="B127" s="199">
        <f t="shared" si="8"/>
        <v>112</v>
      </c>
      <c r="C127" s="197">
        <f t="shared" si="9"/>
        <v>45413</v>
      </c>
      <c r="D127" s="198">
        <f t="shared" si="10"/>
        <v>654.50170056624665</v>
      </c>
      <c r="E127" s="198">
        <f t="shared" si="11"/>
        <v>74.24586066735246</v>
      </c>
      <c r="F127" s="198">
        <f t="shared" si="12"/>
        <v>71.518770248326433</v>
      </c>
      <c r="G127" s="198">
        <f t="shared" si="13"/>
        <v>2.7270904190260277</v>
      </c>
      <c r="H127" s="200">
        <f t="shared" si="14"/>
        <v>582.98293031792127</v>
      </c>
    </row>
    <row r="128" spans="1:8" ht="16.5">
      <c r="A128" s="177"/>
      <c r="B128" s="199">
        <f t="shared" si="8"/>
        <v>113</v>
      </c>
      <c r="C128" s="197">
        <f t="shared" si="9"/>
        <v>45444</v>
      </c>
      <c r="D128" s="198">
        <f t="shared" si="10"/>
        <v>582.98293031792127</v>
      </c>
      <c r="E128" s="198">
        <f t="shared" si="11"/>
        <v>74.24586066735246</v>
      </c>
      <c r="F128" s="198">
        <f t="shared" si="12"/>
        <v>71.816765124361126</v>
      </c>
      <c r="G128" s="198">
        <f t="shared" si="13"/>
        <v>2.4290955429913388</v>
      </c>
      <c r="H128" s="200">
        <f t="shared" si="14"/>
        <v>511.16616519356285</v>
      </c>
    </row>
    <row r="129" spans="1:8" ht="16.5">
      <c r="A129" s="177"/>
      <c r="B129" s="199">
        <f t="shared" si="8"/>
        <v>114</v>
      </c>
      <c r="C129" s="197">
        <f t="shared" si="9"/>
        <v>45474</v>
      </c>
      <c r="D129" s="198">
        <f t="shared" si="10"/>
        <v>511.16616519356285</v>
      </c>
      <c r="E129" s="198">
        <f t="shared" si="11"/>
        <v>74.24586066735246</v>
      </c>
      <c r="F129" s="198">
        <f t="shared" si="12"/>
        <v>72.116001645712615</v>
      </c>
      <c r="G129" s="198">
        <f t="shared" si="13"/>
        <v>2.1298590216398452</v>
      </c>
      <c r="H129" s="200">
        <f t="shared" si="14"/>
        <v>439.05016354785039</v>
      </c>
    </row>
    <row r="130" spans="1:8" ht="16.5">
      <c r="A130" s="177"/>
      <c r="B130" s="199">
        <f t="shared" si="8"/>
        <v>115</v>
      </c>
      <c r="C130" s="197">
        <f t="shared" si="9"/>
        <v>45505</v>
      </c>
      <c r="D130" s="198">
        <f t="shared" si="10"/>
        <v>439.05016354785039</v>
      </c>
      <c r="E130" s="198">
        <f t="shared" si="11"/>
        <v>74.24586066735246</v>
      </c>
      <c r="F130" s="198">
        <f t="shared" si="12"/>
        <v>72.416484985903082</v>
      </c>
      <c r="G130" s="198">
        <f t="shared" si="13"/>
        <v>1.8293756814493767</v>
      </c>
      <c r="H130" s="200">
        <f t="shared" si="14"/>
        <v>366.63367856194418</v>
      </c>
    </row>
    <row r="131" spans="1:8" ht="16.5">
      <c r="A131" s="177"/>
      <c r="B131" s="199">
        <f t="shared" si="8"/>
        <v>116</v>
      </c>
      <c r="C131" s="197">
        <f t="shared" si="9"/>
        <v>45536</v>
      </c>
      <c r="D131" s="198">
        <f t="shared" si="10"/>
        <v>366.63367856194418</v>
      </c>
      <c r="E131" s="198">
        <f t="shared" si="11"/>
        <v>74.24586066735246</v>
      </c>
      <c r="F131" s="198">
        <f t="shared" si="12"/>
        <v>72.71822034001103</v>
      </c>
      <c r="G131" s="198">
        <f t="shared" si="13"/>
        <v>1.5276403273414341</v>
      </c>
      <c r="H131" s="200">
        <f t="shared" si="14"/>
        <v>293.91545822192893</v>
      </c>
    </row>
    <row r="132" spans="1:8" ht="16.5">
      <c r="A132" s="177"/>
      <c r="B132" s="199">
        <f t="shared" si="8"/>
        <v>117</v>
      </c>
      <c r="C132" s="197">
        <f t="shared" si="9"/>
        <v>45566</v>
      </c>
      <c r="D132" s="198">
        <f t="shared" si="10"/>
        <v>293.91545822192893</v>
      </c>
      <c r="E132" s="198">
        <f t="shared" si="11"/>
        <v>74.24586066735246</v>
      </c>
      <c r="F132" s="198">
        <f t="shared" si="12"/>
        <v>73.021212924761087</v>
      </c>
      <c r="G132" s="198">
        <f t="shared" si="13"/>
        <v>1.2246477425913704</v>
      </c>
      <c r="H132" s="200">
        <f t="shared" si="14"/>
        <v>220.89424529717144</v>
      </c>
    </row>
    <row r="133" spans="1:8" ht="16.5">
      <c r="A133" s="177"/>
      <c r="B133" s="199">
        <f t="shared" si="8"/>
        <v>118</v>
      </c>
      <c r="C133" s="197">
        <f t="shared" si="9"/>
        <v>45597</v>
      </c>
      <c r="D133" s="198">
        <f t="shared" si="10"/>
        <v>220.89424529717144</v>
      </c>
      <c r="E133" s="198">
        <f t="shared" si="11"/>
        <v>74.24586066735246</v>
      </c>
      <c r="F133" s="198">
        <f t="shared" si="12"/>
        <v>73.325467978614242</v>
      </c>
      <c r="G133" s="198">
        <f t="shared" si="13"/>
        <v>0.92039268873821434</v>
      </c>
      <c r="H133" s="200">
        <f t="shared" si="14"/>
        <v>147.56877731855639</v>
      </c>
    </row>
    <row r="134" spans="1:8" ht="16.5">
      <c r="A134" s="177"/>
      <c r="B134" s="199">
        <f t="shared" si="8"/>
        <v>119</v>
      </c>
      <c r="C134" s="197">
        <f t="shared" si="9"/>
        <v>45627</v>
      </c>
      <c r="D134" s="198">
        <f t="shared" si="10"/>
        <v>147.56877731855639</v>
      </c>
      <c r="E134" s="198">
        <f t="shared" si="11"/>
        <v>74.24586066735246</v>
      </c>
      <c r="F134" s="198">
        <f t="shared" si="12"/>
        <v>73.63099076185847</v>
      </c>
      <c r="G134" s="198">
        <f t="shared" si="13"/>
        <v>0.6148699054939849</v>
      </c>
      <c r="H134" s="200">
        <f t="shared" si="14"/>
        <v>73.937786556694846</v>
      </c>
    </row>
    <row r="135" spans="1:8" ht="16.5">
      <c r="A135" s="177"/>
      <c r="B135" s="199">
        <f t="shared" si="8"/>
        <v>120</v>
      </c>
      <c r="C135" s="197">
        <f t="shared" si="9"/>
        <v>45658</v>
      </c>
      <c r="D135" s="198">
        <f t="shared" si="10"/>
        <v>73.937786556694846</v>
      </c>
      <c r="E135" s="198">
        <f t="shared" si="11"/>
        <v>74.24586066735246</v>
      </c>
      <c r="F135" s="198">
        <f t="shared" si="12"/>
        <v>73.937786556699564</v>
      </c>
      <c r="G135" s="198">
        <f t="shared" si="13"/>
        <v>0.30807411065289519</v>
      </c>
      <c r="H135" s="200">
        <f t="shared" si="14"/>
        <v>0</v>
      </c>
    </row>
    <row r="136" spans="1:8" ht="16.5">
      <c r="A136" s="177"/>
      <c r="B136" s="199" t="str">
        <f t="shared" si="8"/>
        <v/>
      </c>
      <c r="C136" s="197" t="str">
        <f t="shared" si="9"/>
        <v/>
      </c>
      <c r="D136" s="198" t="str">
        <f t="shared" si="10"/>
        <v/>
      </c>
      <c r="E136" s="198" t="str">
        <f t="shared" si="11"/>
        <v/>
      </c>
      <c r="F136" s="198" t="str">
        <f t="shared" si="12"/>
        <v/>
      </c>
      <c r="G136" s="198" t="str">
        <f t="shared" si="13"/>
        <v/>
      </c>
      <c r="H136" s="200" t="str">
        <f t="shared" si="14"/>
        <v/>
      </c>
    </row>
    <row r="137" spans="1:8" ht="16.5">
      <c r="A137" s="177"/>
      <c r="B137" s="199" t="str">
        <f t="shared" si="8"/>
        <v/>
      </c>
      <c r="C137" s="197" t="str">
        <f t="shared" si="9"/>
        <v/>
      </c>
      <c r="D137" s="198" t="str">
        <f t="shared" si="10"/>
        <v/>
      </c>
      <c r="E137" s="198" t="str">
        <f t="shared" si="11"/>
        <v/>
      </c>
      <c r="F137" s="198" t="str">
        <f t="shared" si="12"/>
        <v/>
      </c>
      <c r="G137" s="198" t="str">
        <f t="shared" si="13"/>
        <v/>
      </c>
      <c r="H137" s="200" t="str">
        <f t="shared" si="14"/>
        <v/>
      </c>
    </row>
    <row r="138" spans="1:8" ht="16.5">
      <c r="A138" s="177"/>
      <c r="B138" s="199" t="str">
        <f t="shared" si="8"/>
        <v/>
      </c>
      <c r="C138" s="197" t="str">
        <f t="shared" si="9"/>
        <v/>
      </c>
      <c r="D138" s="198" t="str">
        <f t="shared" si="10"/>
        <v/>
      </c>
      <c r="E138" s="198" t="str">
        <f t="shared" si="11"/>
        <v/>
      </c>
      <c r="F138" s="198" t="str">
        <f t="shared" si="12"/>
        <v/>
      </c>
      <c r="G138" s="198" t="str">
        <f t="shared" si="13"/>
        <v/>
      </c>
      <c r="H138" s="200" t="str">
        <f t="shared" si="14"/>
        <v/>
      </c>
    </row>
    <row r="139" spans="1:8" ht="16.5">
      <c r="A139" s="177"/>
      <c r="B139" s="199" t="str">
        <f t="shared" si="8"/>
        <v/>
      </c>
      <c r="C139" s="197" t="str">
        <f t="shared" si="9"/>
        <v/>
      </c>
      <c r="D139" s="198" t="str">
        <f t="shared" si="10"/>
        <v/>
      </c>
      <c r="E139" s="198" t="str">
        <f t="shared" si="11"/>
        <v/>
      </c>
      <c r="F139" s="198" t="str">
        <f t="shared" si="12"/>
        <v/>
      </c>
      <c r="G139" s="198" t="str">
        <f t="shared" si="13"/>
        <v/>
      </c>
      <c r="H139" s="200" t="str">
        <f t="shared" si="14"/>
        <v/>
      </c>
    </row>
    <row r="140" spans="1:8" ht="16.5">
      <c r="A140" s="177"/>
      <c r="B140" s="199" t="str">
        <f t="shared" si="8"/>
        <v/>
      </c>
      <c r="C140" s="197" t="str">
        <f t="shared" si="9"/>
        <v/>
      </c>
      <c r="D140" s="198" t="str">
        <f t="shared" si="10"/>
        <v/>
      </c>
      <c r="E140" s="198" t="str">
        <f t="shared" si="11"/>
        <v/>
      </c>
      <c r="F140" s="198" t="str">
        <f t="shared" si="12"/>
        <v/>
      </c>
      <c r="G140" s="198" t="str">
        <f t="shared" si="13"/>
        <v/>
      </c>
      <c r="H140" s="200" t="str">
        <f t="shared" si="14"/>
        <v/>
      </c>
    </row>
    <row r="141" spans="1:8" ht="16.5">
      <c r="A141" s="177"/>
      <c r="B141" s="199" t="str">
        <f t="shared" si="8"/>
        <v/>
      </c>
      <c r="C141" s="197" t="str">
        <f t="shared" si="9"/>
        <v/>
      </c>
      <c r="D141" s="198" t="str">
        <f t="shared" si="10"/>
        <v/>
      </c>
      <c r="E141" s="198" t="str">
        <f t="shared" si="11"/>
        <v/>
      </c>
      <c r="F141" s="198" t="str">
        <f t="shared" si="12"/>
        <v/>
      </c>
      <c r="G141" s="198" t="str">
        <f t="shared" si="13"/>
        <v/>
      </c>
      <c r="H141" s="200" t="str">
        <f t="shared" si="14"/>
        <v/>
      </c>
    </row>
    <row r="142" spans="1:8" ht="16.5">
      <c r="A142" s="177"/>
      <c r="B142" s="199" t="str">
        <f t="shared" si="8"/>
        <v/>
      </c>
      <c r="C142" s="197" t="str">
        <f t="shared" si="9"/>
        <v/>
      </c>
      <c r="D142" s="198" t="str">
        <f t="shared" si="10"/>
        <v/>
      </c>
      <c r="E142" s="198" t="str">
        <f t="shared" si="11"/>
        <v/>
      </c>
      <c r="F142" s="198" t="str">
        <f t="shared" si="12"/>
        <v/>
      </c>
      <c r="G142" s="198" t="str">
        <f t="shared" si="13"/>
        <v/>
      </c>
      <c r="H142" s="200" t="str">
        <f t="shared" si="14"/>
        <v/>
      </c>
    </row>
    <row r="143" spans="1:8" ht="16.5">
      <c r="A143" s="177"/>
      <c r="B143" s="199" t="str">
        <f t="shared" si="8"/>
        <v/>
      </c>
      <c r="C143" s="197" t="str">
        <f t="shared" si="9"/>
        <v/>
      </c>
      <c r="D143" s="198" t="str">
        <f t="shared" si="10"/>
        <v/>
      </c>
      <c r="E143" s="198" t="str">
        <f t="shared" si="11"/>
        <v/>
      </c>
      <c r="F143" s="198" t="str">
        <f t="shared" si="12"/>
        <v/>
      </c>
      <c r="G143" s="198" t="str">
        <f t="shared" si="13"/>
        <v/>
      </c>
      <c r="H143" s="200" t="str">
        <f t="shared" si="14"/>
        <v/>
      </c>
    </row>
    <row r="144" spans="1:8" ht="16.5">
      <c r="A144" s="177"/>
      <c r="B144" s="199" t="str">
        <f t="shared" ref="B144:B207" si="15">IF(Loan_Not_Paid*Values_Entered,Payment_Number,"")</f>
        <v/>
      </c>
      <c r="C144" s="197" t="str">
        <f t="shared" ref="C144:C207" si="16">IF(Loan_Not_Paid*Values_Entered,Payment_Date,"")</f>
        <v/>
      </c>
      <c r="D144" s="198" t="str">
        <f t="shared" ref="D144:D207" si="17">IF(Loan_Not_Paid*Values_Entered,Beginning_Balance,"")</f>
        <v/>
      </c>
      <c r="E144" s="198" t="str">
        <f t="shared" ref="E144:E207" si="18">IF(Loan_Not_Paid*Values_Entered,Monthly_Payment,"")</f>
        <v/>
      </c>
      <c r="F144" s="198" t="str">
        <f t="shared" ref="F144:F207" si="19">IF(Loan_Not_Paid*Values_Entered,Principal,"")</f>
        <v/>
      </c>
      <c r="G144" s="198" t="str">
        <f t="shared" ref="G144:G207" si="20">IF(Loan_Not_Paid*Values_Entered,Interest,"")</f>
        <v/>
      </c>
      <c r="H144" s="200" t="str">
        <f t="shared" ref="H144:H207" si="21">IF(Loan_Not_Paid*Values_Entered,Ending_Balance,"")</f>
        <v/>
      </c>
    </row>
    <row r="145" spans="1:8" ht="16.5">
      <c r="A145" s="177"/>
      <c r="B145" s="199" t="str">
        <f t="shared" si="15"/>
        <v/>
      </c>
      <c r="C145" s="197" t="str">
        <f t="shared" si="16"/>
        <v/>
      </c>
      <c r="D145" s="198" t="str">
        <f t="shared" si="17"/>
        <v/>
      </c>
      <c r="E145" s="198" t="str">
        <f t="shared" si="18"/>
        <v/>
      </c>
      <c r="F145" s="198" t="str">
        <f t="shared" si="19"/>
        <v/>
      </c>
      <c r="G145" s="198" t="str">
        <f t="shared" si="20"/>
        <v/>
      </c>
      <c r="H145" s="200" t="str">
        <f t="shared" si="21"/>
        <v/>
      </c>
    </row>
    <row r="146" spans="1:8" ht="16.5">
      <c r="A146" s="177"/>
      <c r="B146" s="199" t="str">
        <f t="shared" si="15"/>
        <v/>
      </c>
      <c r="C146" s="197" t="str">
        <f t="shared" si="16"/>
        <v/>
      </c>
      <c r="D146" s="198" t="str">
        <f t="shared" si="17"/>
        <v/>
      </c>
      <c r="E146" s="198" t="str">
        <f t="shared" si="18"/>
        <v/>
      </c>
      <c r="F146" s="198" t="str">
        <f t="shared" si="19"/>
        <v/>
      </c>
      <c r="G146" s="198" t="str">
        <f t="shared" si="20"/>
        <v/>
      </c>
      <c r="H146" s="200" t="str">
        <f t="shared" si="21"/>
        <v/>
      </c>
    </row>
    <row r="147" spans="1:8" ht="16.5">
      <c r="A147" s="177"/>
      <c r="B147" s="199" t="str">
        <f t="shared" si="15"/>
        <v/>
      </c>
      <c r="C147" s="197" t="str">
        <f t="shared" si="16"/>
        <v/>
      </c>
      <c r="D147" s="198" t="str">
        <f t="shared" si="17"/>
        <v/>
      </c>
      <c r="E147" s="198" t="str">
        <f t="shared" si="18"/>
        <v/>
      </c>
      <c r="F147" s="198" t="str">
        <f t="shared" si="19"/>
        <v/>
      </c>
      <c r="G147" s="198" t="str">
        <f t="shared" si="20"/>
        <v/>
      </c>
      <c r="H147" s="200" t="str">
        <f t="shared" si="21"/>
        <v/>
      </c>
    </row>
    <row r="148" spans="1:8" ht="16.5">
      <c r="A148" s="177"/>
      <c r="B148" s="199" t="str">
        <f t="shared" si="15"/>
        <v/>
      </c>
      <c r="C148" s="197" t="str">
        <f t="shared" si="16"/>
        <v/>
      </c>
      <c r="D148" s="198" t="str">
        <f t="shared" si="17"/>
        <v/>
      </c>
      <c r="E148" s="198" t="str">
        <f t="shared" si="18"/>
        <v/>
      </c>
      <c r="F148" s="198" t="str">
        <f t="shared" si="19"/>
        <v/>
      </c>
      <c r="G148" s="198" t="str">
        <f t="shared" si="20"/>
        <v/>
      </c>
      <c r="H148" s="200" t="str">
        <f t="shared" si="21"/>
        <v/>
      </c>
    </row>
    <row r="149" spans="1:8" ht="16.5">
      <c r="A149" s="177"/>
      <c r="B149" s="199" t="str">
        <f t="shared" si="15"/>
        <v/>
      </c>
      <c r="C149" s="197" t="str">
        <f t="shared" si="16"/>
        <v/>
      </c>
      <c r="D149" s="198" t="str">
        <f t="shared" si="17"/>
        <v/>
      </c>
      <c r="E149" s="198" t="str">
        <f t="shared" si="18"/>
        <v/>
      </c>
      <c r="F149" s="198" t="str">
        <f t="shared" si="19"/>
        <v/>
      </c>
      <c r="G149" s="198" t="str">
        <f t="shared" si="20"/>
        <v/>
      </c>
      <c r="H149" s="200" t="str">
        <f t="shared" si="21"/>
        <v/>
      </c>
    </row>
    <row r="150" spans="1:8" ht="16.5">
      <c r="A150" s="177"/>
      <c r="B150" s="199" t="str">
        <f t="shared" si="15"/>
        <v/>
      </c>
      <c r="C150" s="197" t="str">
        <f t="shared" si="16"/>
        <v/>
      </c>
      <c r="D150" s="198" t="str">
        <f t="shared" si="17"/>
        <v/>
      </c>
      <c r="E150" s="198" t="str">
        <f t="shared" si="18"/>
        <v/>
      </c>
      <c r="F150" s="198" t="str">
        <f t="shared" si="19"/>
        <v/>
      </c>
      <c r="G150" s="198" t="str">
        <f t="shared" si="20"/>
        <v/>
      </c>
      <c r="H150" s="200" t="str">
        <f t="shared" si="21"/>
        <v/>
      </c>
    </row>
    <row r="151" spans="1:8" ht="16.5">
      <c r="A151" s="177"/>
      <c r="B151" s="199" t="str">
        <f t="shared" si="15"/>
        <v/>
      </c>
      <c r="C151" s="197" t="str">
        <f t="shared" si="16"/>
        <v/>
      </c>
      <c r="D151" s="198" t="str">
        <f t="shared" si="17"/>
        <v/>
      </c>
      <c r="E151" s="198" t="str">
        <f t="shared" si="18"/>
        <v/>
      </c>
      <c r="F151" s="198" t="str">
        <f t="shared" si="19"/>
        <v/>
      </c>
      <c r="G151" s="198" t="str">
        <f t="shared" si="20"/>
        <v/>
      </c>
      <c r="H151" s="200" t="str">
        <f t="shared" si="21"/>
        <v/>
      </c>
    </row>
    <row r="152" spans="1:8" ht="16.5">
      <c r="A152" s="177"/>
      <c r="B152" s="199" t="str">
        <f t="shared" si="15"/>
        <v/>
      </c>
      <c r="C152" s="197" t="str">
        <f t="shared" si="16"/>
        <v/>
      </c>
      <c r="D152" s="198" t="str">
        <f t="shared" si="17"/>
        <v/>
      </c>
      <c r="E152" s="198" t="str">
        <f t="shared" si="18"/>
        <v/>
      </c>
      <c r="F152" s="198" t="str">
        <f t="shared" si="19"/>
        <v/>
      </c>
      <c r="G152" s="198" t="str">
        <f t="shared" si="20"/>
        <v/>
      </c>
      <c r="H152" s="200" t="str">
        <f t="shared" si="21"/>
        <v/>
      </c>
    </row>
    <row r="153" spans="1:8" ht="16.5">
      <c r="A153" s="177"/>
      <c r="B153" s="199" t="str">
        <f t="shared" si="15"/>
        <v/>
      </c>
      <c r="C153" s="197" t="str">
        <f t="shared" si="16"/>
        <v/>
      </c>
      <c r="D153" s="198" t="str">
        <f t="shared" si="17"/>
        <v/>
      </c>
      <c r="E153" s="198" t="str">
        <f t="shared" si="18"/>
        <v/>
      </c>
      <c r="F153" s="198" t="str">
        <f t="shared" si="19"/>
        <v/>
      </c>
      <c r="G153" s="198" t="str">
        <f t="shared" si="20"/>
        <v/>
      </c>
      <c r="H153" s="200" t="str">
        <f t="shared" si="21"/>
        <v/>
      </c>
    </row>
    <row r="154" spans="1:8" ht="16.5">
      <c r="A154" s="177"/>
      <c r="B154" s="199" t="str">
        <f t="shared" si="15"/>
        <v/>
      </c>
      <c r="C154" s="197" t="str">
        <f t="shared" si="16"/>
        <v/>
      </c>
      <c r="D154" s="198" t="str">
        <f t="shared" si="17"/>
        <v/>
      </c>
      <c r="E154" s="198" t="str">
        <f t="shared" si="18"/>
        <v/>
      </c>
      <c r="F154" s="198" t="str">
        <f t="shared" si="19"/>
        <v/>
      </c>
      <c r="G154" s="198" t="str">
        <f t="shared" si="20"/>
        <v/>
      </c>
      <c r="H154" s="200" t="str">
        <f t="shared" si="21"/>
        <v/>
      </c>
    </row>
    <row r="155" spans="1:8" ht="16.5">
      <c r="A155" s="177"/>
      <c r="B155" s="199" t="str">
        <f t="shared" si="15"/>
        <v/>
      </c>
      <c r="C155" s="197" t="str">
        <f t="shared" si="16"/>
        <v/>
      </c>
      <c r="D155" s="198" t="str">
        <f t="shared" si="17"/>
        <v/>
      </c>
      <c r="E155" s="198" t="str">
        <f t="shared" si="18"/>
        <v/>
      </c>
      <c r="F155" s="198" t="str">
        <f t="shared" si="19"/>
        <v/>
      </c>
      <c r="G155" s="198" t="str">
        <f t="shared" si="20"/>
        <v/>
      </c>
      <c r="H155" s="200" t="str">
        <f t="shared" si="21"/>
        <v/>
      </c>
    </row>
    <row r="156" spans="1:8" ht="16.5">
      <c r="A156" s="177"/>
      <c r="B156" s="199" t="str">
        <f t="shared" si="15"/>
        <v/>
      </c>
      <c r="C156" s="197" t="str">
        <f t="shared" si="16"/>
        <v/>
      </c>
      <c r="D156" s="198" t="str">
        <f t="shared" si="17"/>
        <v/>
      </c>
      <c r="E156" s="198" t="str">
        <f t="shared" si="18"/>
        <v/>
      </c>
      <c r="F156" s="198" t="str">
        <f t="shared" si="19"/>
        <v/>
      </c>
      <c r="G156" s="198" t="str">
        <f t="shared" si="20"/>
        <v/>
      </c>
      <c r="H156" s="200" t="str">
        <f t="shared" si="21"/>
        <v/>
      </c>
    </row>
    <row r="157" spans="1:8" ht="16.5">
      <c r="A157" s="177"/>
      <c r="B157" s="199" t="str">
        <f t="shared" si="15"/>
        <v/>
      </c>
      <c r="C157" s="197" t="str">
        <f t="shared" si="16"/>
        <v/>
      </c>
      <c r="D157" s="198" t="str">
        <f t="shared" si="17"/>
        <v/>
      </c>
      <c r="E157" s="198" t="str">
        <f t="shared" si="18"/>
        <v/>
      </c>
      <c r="F157" s="198" t="str">
        <f t="shared" si="19"/>
        <v/>
      </c>
      <c r="G157" s="198" t="str">
        <f t="shared" si="20"/>
        <v/>
      </c>
      <c r="H157" s="200" t="str">
        <f t="shared" si="21"/>
        <v/>
      </c>
    </row>
    <row r="158" spans="1:8" ht="16.5">
      <c r="A158" s="177"/>
      <c r="B158" s="199" t="str">
        <f t="shared" si="15"/>
        <v/>
      </c>
      <c r="C158" s="197" t="str">
        <f t="shared" si="16"/>
        <v/>
      </c>
      <c r="D158" s="198" t="str">
        <f t="shared" si="17"/>
        <v/>
      </c>
      <c r="E158" s="198" t="str">
        <f t="shared" si="18"/>
        <v/>
      </c>
      <c r="F158" s="198" t="str">
        <f t="shared" si="19"/>
        <v/>
      </c>
      <c r="G158" s="198" t="str">
        <f t="shared" si="20"/>
        <v/>
      </c>
      <c r="H158" s="200" t="str">
        <f t="shared" si="21"/>
        <v/>
      </c>
    </row>
    <row r="159" spans="1:8" ht="16.5">
      <c r="A159" s="177"/>
      <c r="B159" s="199" t="str">
        <f t="shared" si="15"/>
        <v/>
      </c>
      <c r="C159" s="197" t="str">
        <f t="shared" si="16"/>
        <v/>
      </c>
      <c r="D159" s="198" t="str">
        <f t="shared" si="17"/>
        <v/>
      </c>
      <c r="E159" s="198" t="str">
        <f t="shared" si="18"/>
        <v/>
      </c>
      <c r="F159" s="198" t="str">
        <f t="shared" si="19"/>
        <v/>
      </c>
      <c r="G159" s="198" t="str">
        <f t="shared" si="20"/>
        <v/>
      </c>
      <c r="H159" s="200" t="str">
        <f t="shared" si="21"/>
        <v/>
      </c>
    </row>
    <row r="160" spans="1:8" ht="16.5">
      <c r="A160" s="177"/>
      <c r="B160" s="199" t="str">
        <f t="shared" si="15"/>
        <v/>
      </c>
      <c r="C160" s="197" t="str">
        <f t="shared" si="16"/>
        <v/>
      </c>
      <c r="D160" s="198" t="str">
        <f t="shared" si="17"/>
        <v/>
      </c>
      <c r="E160" s="198" t="str">
        <f t="shared" si="18"/>
        <v/>
      </c>
      <c r="F160" s="198" t="str">
        <f t="shared" si="19"/>
        <v/>
      </c>
      <c r="G160" s="198" t="str">
        <f t="shared" si="20"/>
        <v/>
      </c>
      <c r="H160" s="200" t="str">
        <f t="shared" si="21"/>
        <v/>
      </c>
    </row>
    <row r="161" spans="1:8" ht="16.5">
      <c r="A161" s="177"/>
      <c r="B161" s="199" t="str">
        <f t="shared" si="15"/>
        <v/>
      </c>
      <c r="C161" s="197" t="str">
        <f t="shared" si="16"/>
        <v/>
      </c>
      <c r="D161" s="198" t="str">
        <f t="shared" si="17"/>
        <v/>
      </c>
      <c r="E161" s="198" t="str">
        <f t="shared" si="18"/>
        <v/>
      </c>
      <c r="F161" s="198" t="str">
        <f t="shared" si="19"/>
        <v/>
      </c>
      <c r="G161" s="198" t="str">
        <f t="shared" si="20"/>
        <v/>
      </c>
      <c r="H161" s="200" t="str">
        <f t="shared" si="21"/>
        <v/>
      </c>
    </row>
    <row r="162" spans="1:8" ht="16.5">
      <c r="A162" s="177"/>
      <c r="B162" s="199" t="str">
        <f t="shared" si="15"/>
        <v/>
      </c>
      <c r="C162" s="197" t="str">
        <f t="shared" si="16"/>
        <v/>
      </c>
      <c r="D162" s="198" t="str">
        <f t="shared" si="17"/>
        <v/>
      </c>
      <c r="E162" s="198" t="str">
        <f t="shared" si="18"/>
        <v/>
      </c>
      <c r="F162" s="198" t="str">
        <f t="shared" si="19"/>
        <v/>
      </c>
      <c r="G162" s="198" t="str">
        <f t="shared" si="20"/>
        <v/>
      </c>
      <c r="H162" s="200" t="str">
        <f t="shared" si="21"/>
        <v/>
      </c>
    </row>
    <row r="163" spans="1:8" ht="16.5">
      <c r="A163" s="177"/>
      <c r="B163" s="199" t="str">
        <f t="shared" si="15"/>
        <v/>
      </c>
      <c r="C163" s="197" t="str">
        <f t="shared" si="16"/>
        <v/>
      </c>
      <c r="D163" s="198" t="str">
        <f t="shared" si="17"/>
        <v/>
      </c>
      <c r="E163" s="198" t="str">
        <f t="shared" si="18"/>
        <v/>
      </c>
      <c r="F163" s="198" t="str">
        <f t="shared" si="19"/>
        <v/>
      </c>
      <c r="G163" s="198" t="str">
        <f t="shared" si="20"/>
        <v/>
      </c>
      <c r="H163" s="200" t="str">
        <f t="shared" si="21"/>
        <v/>
      </c>
    </row>
    <row r="164" spans="1:8" ht="16.5">
      <c r="A164" s="177"/>
      <c r="B164" s="199" t="str">
        <f t="shared" si="15"/>
        <v/>
      </c>
      <c r="C164" s="197" t="str">
        <f t="shared" si="16"/>
        <v/>
      </c>
      <c r="D164" s="198" t="str">
        <f t="shared" si="17"/>
        <v/>
      </c>
      <c r="E164" s="198" t="str">
        <f t="shared" si="18"/>
        <v/>
      </c>
      <c r="F164" s="198" t="str">
        <f t="shared" si="19"/>
        <v/>
      </c>
      <c r="G164" s="198" t="str">
        <f t="shared" si="20"/>
        <v/>
      </c>
      <c r="H164" s="200" t="str">
        <f t="shared" si="21"/>
        <v/>
      </c>
    </row>
    <row r="165" spans="1:8" ht="16.5">
      <c r="A165" s="177"/>
      <c r="B165" s="199" t="str">
        <f t="shared" si="15"/>
        <v/>
      </c>
      <c r="C165" s="197" t="str">
        <f t="shared" si="16"/>
        <v/>
      </c>
      <c r="D165" s="198" t="str">
        <f t="shared" si="17"/>
        <v/>
      </c>
      <c r="E165" s="198" t="str">
        <f t="shared" si="18"/>
        <v/>
      </c>
      <c r="F165" s="198" t="str">
        <f t="shared" si="19"/>
        <v/>
      </c>
      <c r="G165" s="198" t="str">
        <f t="shared" si="20"/>
        <v/>
      </c>
      <c r="H165" s="200" t="str">
        <f t="shared" si="21"/>
        <v/>
      </c>
    </row>
    <row r="166" spans="1:8" ht="16.5">
      <c r="A166" s="177"/>
      <c r="B166" s="199" t="str">
        <f t="shared" si="15"/>
        <v/>
      </c>
      <c r="C166" s="197" t="str">
        <f t="shared" si="16"/>
        <v/>
      </c>
      <c r="D166" s="198" t="str">
        <f t="shared" si="17"/>
        <v/>
      </c>
      <c r="E166" s="198" t="str">
        <f t="shared" si="18"/>
        <v/>
      </c>
      <c r="F166" s="198" t="str">
        <f t="shared" si="19"/>
        <v/>
      </c>
      <c r="G166" s="198" t="str">
        <f t="shared" si="20"/>
        <v/>
      </c>
      <c r="H166" s="200" t="str">
        <f t="shared" si="21"/>
        <v/>
      </c>
    </row>
    <row r="167" spans="1:8" ht="16.5">
      <c r="A167" s="177"/>
      <c r="B167" s="199" t="str">
        <f t="shared" si="15"/>
        <v/>
      </c>
      <c r="C167" s="197" t="str">
        <f t="shared" si="16"/>
        <v/>
      </c>
      <c r="D167" s="198" t="str">
        <f t="shared" si="17"/>
        <v/>
      </c>
      <c r="E167" s="198" t="str">
        <f t="shared" si="18"/>
        <v/>
      </c>
      <c r="F167" s="198" t="str">
        <f t="shared" si="19"/>
        <v/>
      </c>
      <c r="G167" s="198" t="str">
        <f t="shared" si="20"/>
        <v/>
      </c>
      <c r="H167" s="200" t="str">
        <f t="shared" si="21"/>
        <v/>
      </c>
    </row>
    <row r="168" spans="1:8" ht="16.5">
      <c r="A168" s="177"/>
      <c r="B168" s="199" t="str">
        <f t="shared" si="15"/>
        <v/>
      </c>
      <c r="C168" s="197" t="str">
        <f t="shared" si="16"/>
        <v/>
      </c>
      <c r="D168" s="198" t="str">
        <f t="shared" si="17"/>
        <v/>
      </c>
      <c r="E168" s="198" t="str">
        <f t="shared" si="18"/>
        <v/>
      </c>
      <c r="F168" s="198" t="str">
        <f t="shared" si="19"/>
        <v/>
      </c>
      <c r="G168" s="198" t="str">
        <f t="shared" si="20"/>
        <v/>
      </c>
      <c r="H168" s="200" t="str">
        <f t="shared" si="21"/>
        <v/>
      </c>
    </row>
    <row r="169" spans="1:8" ht="16.5">
      <c r="A169" s="177"/>
      <c r="B169" s="199" t="str">
        <f t="shared" si="15"/>
        <v/>
      </c>
      <c r="C169" s="197" t="str">
        <f t="shared" si="16"/>
        <v/>
      </c>
      <c r="D169" s="198" t="str">
        <f t="shared" si="17"/>
        <v/>
      </c>
      <c r="E169" s="198" t="str">
        <f t="shared" si="18"/>
        <v/>
      </c>
      <c r="F169" s="198" t="str">
        <f t="shared" si="19"/>
        <v/>
      </c>
      <c r="G169" s="198" t="str">
        <f t="shared" si="20"/>
        <v/>
      </c>
      <c r="H169" s="200" t="str">
        <f t="shared" si="21"/>
        <v/>
      </c>
    </row>
    <row r="170" spans="1:8" ht="16.5">
      <c r="A170" s="177"/>
      <c r="B170" s="199" t="str">
        <f t="shared" si="15"/>
        <v/>
      </c>
      <c r="C170" s="197" t="str">
        <f t="shared" si="16"/>
        <v/>
      </c>
      <c r="D170" s="198" t="str">
        <f t="shared" si="17"/>
        <v/>
      </c>
      <c r="E170" s="198" t="str">
        <f t="shared" si="18"/>
        <v/>
      </c>
      <c r="F170" s="198" t="str">
        <f t="shared" si="19"/>
        <v/>
      </c>
      <c r="G170" s="198" t="str">
        <f t="shared" si="20"/>
        <v/>
      </c>
      <c r="H170" s="200" t="str">
        <f t="shared" si="21"/>
        <v/>
      </c>
    </row>
    <row r="171" spans="1:8" ht="16.5">
      <c r="A171" s="177"/>
      <c r="B171" s="199" t="str">
        <f t="shared" si="15"/>
        <v/>
      </c>
      <c r="C171" s="197" t="str">
        <f t="shared" si="16"/>
        <v/>
      </c>
      <c r="D171" s="198" t="str">
        <f t="shared" si="17"/>
        <v/>
      </c>
      <c r="E171" s="198" t="str">
        <f t="shared" si="18"/>
        <v/>
      </c>
      <c r="F171" s="198" t="str">
        <f t="shared" si="19"/>
        <v/>
      </c>
      <c r="G171" s="198" t="str">
        <f t="shared" si="20"/>
        <v/>
      </c>
      <c r="H171" s="200" t="str">
        <f t="shared" si="21"/>
        <v/>
      </c>
    </row>
    <row r="172" spans="1:8" ht="16.5">
      <c r="A172" s="177"/>
      <c r="B172" s="199" t="str">
        <f t="shared" si="15"/>
        <v/>
      </c>
      <c r="C172" s="197" t="str">
        <f t="shared" si="16"/>
        <v/>
      </c>
      <c r="D172" s="198" t="str">
        <f t="shared" si="17"/>
        <v/>
      </c>
      <c r="E172" s="198" t="str">
        <f t="shared" si="18"/>
        <v/>
      </c>
      <c r="F172" s="198" t="str">
        <f t="shared" si="19"/>
        <v/>
      </c>
      <c r="G172" s="198" t="str">
        <f t="shared" si="20"/>
        <v/>
      </c>
      <c r="H172" s="200" t="str">
        <f t="shared" si="21"/>
        <v/>
      </c>
    </row>
    <row r="173" spans="1:8" ht="16.5">
      <c r="A173" s="177"/>
      <c r="B173" s="199" t="str">
        <f t="shared" si="15"/>
        <v/>
      </c>
      <c r="C173" s="197" t="str">
        <f t="shared" si="16"/>
        <v/>
      </c>
      <c r="D173" s="198" t="str">
        <f t="shared" si="17"/>
        <v/>
      </c>
      <c r="E173" s="198" t="str">
        <f t="shared" si="18"/>
        <v/>
      </c>
      <c r="F173" s="198" t="str">
        <f t="shared" si="19"/>
        <v/>
      </c>
      <c r="G173" s="198" t="str">
        <f t="shared" si="20"/>
        <v/>
      </c>
      <c r="H173" s="200" t="str">
        <f t="shared" si="21"/>
        <v/>
      </c>
    </row>
    <row r="174" spans="1:8" ht="16.5">
      <c r="A174" s="177"/>
      <c r="B174" s="199" t="str">
        <f t="shared" si="15"/>
        <v/>
      </c>
      <c r="C174" s="197" t="str">
        <f t="shared" si="16"/>
        <v/>
      </c>
      <c r="D174" s="198" t="str">
        <f t="shared" si="17"/>
        <v/>
      </c>
      <c r="E174" s="198" t="str">
        <f t="shared" si="18"/>
        <v/>
      </c>
      <c r="F174" s="198" t="str">
        <f t="shared" si="19"/>
        <v/>
      </c>
      <c r="G174" s="198" t="str">
        <f t="shared" si="20"/>
        <v/>
      </c>
      <c r="H174" s="200" t="str">
        <f t="shared" si="21"/>
        <v/>
      </c>
    </row>
    <row r="175" spans="1:8" ht="16.5">
      <c r="A175" s="177"/>
      <c r="B175" s="199" t="str">
        <f t="shared" si="15"/>
        <v/>
      </c>
      <c r="C175" s="197" t="str">
        <f t="shared" si="16"/>
        <v/>
      </c>
      <c r="D175" s="198" t="str">
        <f t="shared" si="17"/>
        <v/>
      </c>
      <c r="E175" s="198" t="str">
        <f t="shared" si="18"/>
        <v/>
      </c>
      <c r="F175" s="198" t="str">
        <f t="shared" si="19"/>
        <v/>
      </c>
      <c r="G175" s="198" t="str">
        <f t="shared" si="20"/>
        <v/>
      </c>
      <c r="H175" s="200" t="str">
        <f t="shared" si="21"/>
        <v/>
      </c>
    </row>
    <row r="176" spans="1:8" ht="16.5">
      <c r="A176" s="177"/>
      <c r="B176" s="199" t="str">
        <f t="shared" si="15"/>
        <v/>
      </c>
      <c r="C176" s="197" t="str">
        <f t="shared" si="16"/>
        <v/>
      </c>
      <c r="D176" s="198" t="str">
        <f t="shared" si="17"/>
        <v/>
      </c>
      <c r="E176" s="198" t="str">
        <f t="shared" si="18"/>
        <v/>
      </c>
      <c r="F176" s="198" t="str">
        <f t="shared" si="19"/>
        <v/>
      </c>
      <c r="G176" s="198" t="str">
        <f t="shared" si="20"/>
        <v/>
      </c>
      <c r="H176" s="200" t="str">
        <f t="shared" si="21"/>
        <v/>
      </c>
    </row>
    <row r="177" spans="1:8" ht="16.5">
      <c r="A177" s="177"/>
      <c r="B177" s="199" t="str">
        <f t="shared" si="15"/>
        <v/>
      </c>
      <c r="C177" s="197" t="str">
        <f t="shared" si="16"/>
        <v/>
      </c>
      <c r="D177" s="198" t="str">
        <f t="shared" si="17"/>
        <v/>
      </c>
      <c r="E177" s="198" t="str">
        <f t="shared" si="18"/>
        <v/>
      </c>
      <c r="F177" s="198" t="str">
        <f t="shared" si="19"/>
        <v/>
      </c>
      <c r="G177" s="198" t="str">
        <f t="shared" si="20"/>
        <v/>
      </c>
      <c r="H177" s="200" t="str">
        <f t="shared" si="21"/>
        <v/>
      </c>
    </row>
    <row r="178" spans="1:8" ht="16.5">
      <c r="A178" s="177"/>
      <c r="B178" s="199" t="str">
        <f t="shared" si="15"/>
        <v/>
      </c>
      <c r="C178" s="197" t="str">
        <f t="shared" si="16"/>
        <v/>
      </c>
      <c r="D178" s="198" t="str">
        <f t="shared" si="17"/>
        <v/>
      </c>
      <c r="E178" s="198" t="str">
        <f t="shared" si="18"/>
        <v/>
      </c>
      <c r="F178" s="198" t="str">
        <f t="shared" si="19"/>
        <v/>
      </c>
      <c r="G178" s="198" t="str">
        <f t="shared" si="20"/>
        <v/>
      </c>
      <c r="H178" s="200" t="str">
        <f t="shared" si="21"/>
        <v/>
      </c>
    </row>
    <row r="179" spans="1:8" ht="16.5">
      <c r="A179" s="177"/>
      <c r="B179" s="199" t="str">
        <f t="shared" si="15"/>
        <v/>
      </c>
      <c r="C179" s="197" t="str">
        <f t="shared" si="16"/>
        <v/>
      </c>
      <c r="D179" s="198" t="str">
        <f t="shared" si="17"/>
        <v/>
      </c>
      <c r="E179" s="198" t="str">
        <f t="shared" si="18"/>
        <v/>
      </c>
      <c r="F179" s="198" t="str">
        <f t="shared" si="19"/>
        <v/>
      </c>
      <c r="G179" s="198" t="str">
        <f t="shared" si="20"/>
        <v/>
      </c>
      <c r="H179" s="200" t="str">
        <f t="shared" si="21"/>
        <v/>
      </c>
    </row>
    <row r="180" spans="1:8" ht="16.5">
      <c r="A180" s="177"/>
      <c r="B180" s="199" t="str">
        <f t="shared" si="15"/>
        <v/>
      </c>
      <c r="C180" s="197" t="str">
        <f t="shared" si="16"/>
        <v/>
      </c>
      <c r="D180" s="198" t="str">
        <f t="shared" si="17"/>
        <v/>
      </c>
      <c r="E180" s="198" t="str">
        <f t="shared" si="18"/>
        <v/>
      </c>
      <c r="F180" s="198" t="str">
        <f t="shared" si="19"/>
        <v/>
      </c>
      <c r="G180" s="198" t="str">
        <f t="shared" si="20"/>
        <v/>
      </c>
      <c r="H180" s="200" t="str">
        <f t="shared" si="21"/>
        <v/>
      </c>
    </row>
    <row r="181" spans="1:8" ht="16.5">
      <c r="A181" s="177"/>
      <c r="B181" s="199" t="str">
        <f t="shared" si="15"/>
        <v/>
      </c>
      <c r="C181" s="197" t="str">
        <f t="shared" si="16"/>
        <v/>
      </c>
      <c r="D181" s="198" t="str">
        <f t="shared" si="17"/>
        <v/>
      </c>
      <c r="E181" s="198" t="str">
        <f t="shared" si="18"/>
        <v/>
      </c>
      <c r="F181" s="198" t="str">
        <f t="shared" si="19"/>
        <v/>
      </c>
      <c r="G181" s="198" t="str">
        <f t="shared" si="20"/>
        <v/>
      </c>
      <c r="H181" s="200" t="str">
        <f t="shared" si="21"/>
        <v/>
      </c>
    </row>
    <row r="182" spans="1:8" ht="16.5">
      <c r="A182" s="177"/>
      <c r="B182" s="199" t="str">
        <f t="shared" si="15"/>
        <v/>
      </c>
      <c r="C182" s="197" t="str">
        <f t="shared" si="16"/>
        <v/>
      </c>
      <c r="D182" s="198" t="str">
        <f t="shared" si="17"/>
        <v/>
      </c>
      <c r="E182" s="198" t="str">
        <f t="shared" si="18"/>
        <v/>
      </c>
      <c r="F182" s="198" t="str">
        <f t="shared" si="19"/>
        <v/>
      </c>
      <c r="G182" s="198" t="str">
        <f t="shared" si="20"/>
        <v/>
      </c>
      <c r="H182" s="200" t="str">
        <f t="shared" si="21"/>
        <v/>
      </c>
    </row>
    <row r="183" spans="1:8" ht="16.5">
      <c r="A183" s="177"/>
      <c r="B183" s="199" t="str">
        <f t="shared" si="15"/>
        <v/>
      </c>
      <c r="C183" s="197" t="str">
        <f t="shared" si="16"/>
        <v/>
      </c>
      <c r="D183" s="198" t="str">
        <f t="shared" si="17"/>
        <v/>
      </c>
      <c r="E183" s="198" t="str">
        <f t="shared" si="18"/>
        <v/>
      </c>
      <c r="F183" s="198" t="str">
        <f t="shared" si="19"/>
        <v/>
      </c>
      <c r="G183" s="198" t="str">
        <f t="shared" si="20"/>
        <v/>
      </c>
      <c r="H183" s="200" t="str">
        <f t="shared" si="21"/>
        <v/>
      </c>
    </row>
    <row r="184" spans="1:8" ht="16.5">
      <c r="A184" s="177"/>
      <c r="B184" s="199" t="str">
        <f t="shared" si="15"/>
        <v/>
      </c>
      <c r="C184" s="197" t="str">
        <f t="shared" si="16"/>
        <v/>
      </c>
      <c r="D184" s="198" t="str">
        <f t="shared" si="17"/>
        <v/>
      </c>
      <c r="E184" s="198" t="str">
        <f t="shared" si="18"/>
        <v/>
      </c>
      <c r="F184" s="198" t="str">
        <f t="shared" si="19"/>
        <v/>
      </c>
      <c r="G184" s="198" t="str">
        <f t="shared" si="20"/>
        <v/>
      </c>
      <c r="H184" s="200" t="str">
        <f t="shared" si="21"/>
        <v/>
      </c>
    </row>
    <row r="185" spans="1:8" ht="16.5">
      <c r="A185" s="177"/>
      <c r="B185" s="199" t="str">
        <f t="shared" si="15"/>
        <v/>
      </c>
      <c r="C185" s="197" t="str">
        <f t="shared" si="16"/>
        <v/>
      </c>
      <c r="D185" s="198" t="str">
        <f t="shared" si="17"/>
        <v/>
      </c>
      <c r="E185" s="198" t="str">
        <f t="shared" si="18"/>
        <v/>
      </c>
      <c r="F185" s="198" t="str">
        <f t="shared" si="19"/>
        <v/>
      </c>
      <c r="G185" s="198" t="str">
        <f t="shared" si="20"/>
        <v/>
      </c>
      <c r="H185" s="200" t="str">
        <f t="shared" si="21"/>
        <v/>
      </c>
    </row>
    <row r="186" spans="1:8" ht="16.5">
      <c r="A186" s="177"/>
      <c r="B186" s="199" t="str">
        <f t="shared" si="15"/>
        <v/>
      </c>
      <c r="C186" s="197" t="str">
        <f t="shared" si="16"/>
        <v/>
      </c>
      <c r="D186" s="198" t="str">
        <f t="shared" si="17"/>
        <v/>
      </c>
      <c r="E186" s="198" t="str">
        <f t="shared" si="18"/>
        <v/>
      </c>
      <c r="F186" s="198" t="str">
        <f t="shared" si="19"/>
        <v/>
      </c>
      <c r="G186" s="198" t="str">
        <f t="shared" si="20"/>
        <v/>
      </c>
      <c r="H186" s="200" t="str">
        <f t="shared" si="21"/>
        <v/>
      </c>
    </row>
    <row r="187" spans="1:8" ht="16.5">
      <c r="A187" s="177"/>
      <c r="B187" s="199" t="str">
        <f t="shared" si="15"/>
        <v/>
      </c>
      <c r="C187" s="197" t="str">
        <f t="shared" si="16"/>
        <v/>
      </c>
      <c r="D187" s="198" t="str">
        <f t="shared" si="17"/>
        <v/>
      </c>
      <c r="E187" s="198" t="str">
        <f t="shared" si="18"/>
        <v/>
      </c>
      <c r="F187" s="198" t="str">
        <f t="shared" si="19"/>
        <v/>
      </c>
      <c r="G187" s="198" t="str">
        <f t="shared" si="20"/>
        <v/>
      </c>
      <c r="H187" s="200" t="str">
        <f t="shared" si="21"/>
        <v/>
      </c>
    </row>
    <row r="188" spans="1:8" ht="16.5">
      <c r="A188" s="177"/>
      <c r="B188" s="199" t="str">
        <f t="shared" si="15"/>
        <v/>
      </c>
      <c r="C188" s="197" t="str">
        <f t="shared" si="16"/>
        <v/>
      </c>
      <c r="D188" s="198" t="str">
        <f t="shared" si="17"/>
        <v/>
      </c>
      <c r="E188" s="198" t="str">
        <f t="shared" si="18"/>
        <v/>
      </c>
      <c r="F188" s="198" t="str">
        <f t="shared" si="19"/>
        <v/>
      </c>
      <c r="G188" s="198" t="str">
        <f t="shared" si="20"/>
        <v/>
      </c>
      <c r="H188" s="200" t="str">
        <f t="shared" si="21"/>
        <v/>
      </c>
    </row>
    <row r="189" spans="1:8" ht="16.5">
      <c r="A189" s="177"/>
      <c r="B189" s="199" t="str">
        <f t="shared" si="15"/>
        <v/>
      </c>
      <c r="C189" s="197" t="str">
        <f t="shared" si="16"/>
        <v/>
      </c>
      <c r="D189" s="198" t="str">
        <f t="shared" si="17"/>
        <v/>
      </c>
      <c r="E189" s="198" t="str">
        <f t="shared" si="18"/>
        <v/>
      </c>
      <c r="F189" s="198" t="str">
        <f t="shared" si="19"/>
        <v/>
      </c>
      <c r="G189" s="198" t="str">
        <f t="shared" si="20"/>
        <v/>
      </c>
      <c r="H189" s="200" t="str">
        <f t="shared" si="21"/>
        <v/>
      </c>
    </row>
    <row r="190" spans="1:8" ht="16.5">
      <c r="A190" s="177"/>
      <c r="B190" s="199" t="str">
        <f t="shared" si="15"/>
        <v/>
      </c>
      <c r="C190" s="197" t="str">
        <f t="shared" si="16"/>
        <v/>
      </c>
      <c r="D190" s="198" t="str">
        <f t="shared" si="17"/>
        <v/>
      </c>
      <c r="E190" s="198" t="str">
        <f t="shared" si="18"/>
        <v/>
      </c>
      <c r="F190" s="198" t="str">
        <f t="shared" si="19"/>
        <v/>
      </c>
      <c r="G190" s="198" t="str">
        <f t="shared" si="20"/>
        <v/>
      </c>
      <c r="H190" s="200" t="str">
        <f t="shared" si="21"/>
        <v/>
      </c>
    </row>
    <row r="191" spans="1:8" ht="16.5">
      <c r="A191" s="177"/>
      <c r="B191" s="199" t="str">
        <f t="shared" si="15"/>
        <v/>
      </c>
      <c r="C191" s="197" t="str">
        <f t="shared" si="16"/>
        <v/>
      </c>
      <c r="D191" s="198" t="str">
        <f t="shared" si="17"/>
        <v/>
      </c>
      <c r="E191" s="198" t="str">
        <f t="shared" si="18"/>
        <v/>
      </c>
      <c r="F191" s="198" t="str">
        <f t="shared" si="19"/>
        <v/>
      </c>
      <c r="G191" s="198" t="str">
        <f t="shared" si="20"/>
        <v/>
      </c>
      <c r="H191" s="200" t="str">
        <f t="shared" si="21"/>
        <v/>
      </c>
    </row>
    <row r="192" spans="1:8" ht="16.5">
      <c r="A192" s="177"/>
      <c r="B192" s="199" t="str">
        <f t="shared" si="15"/>
        <v/>
      </c>
      <c r="C192" s="197" t="str">
        <f t="shared" si="16"/>
        <v/>
      </c>
      <c r="D192" s="198" t="str">
        <f t="shared" si="17"/>
        <v/>
      </c>
      <c r="E192" s="198" t="str">
        <f t="shared" si="18"/>
        <v/>
      </c>
      <c r="F192" s="198" t="str">
        <f t="shared" si="19"/>
        <v/>
      </c>
      <c r="G192" s="198" t="str">
        <f t="shared" si="20"/>
        <v/>
      </c>
      <c r="H192" s="200" t="str">
        <f t="shared" si="21"/>
        <v/>
      </c>
    </row>
    <row r="193" spans="1:8" ht="16.5">
      <c r="A193" s="177"/>
      <c r="B193" s="199" t="str">
        <f t="shared" si="15"/>
        <v/>
      </c>
      <c r="C193" s="197" t="str">
        <f t="shared" si="16"/>
        <v/>
      </c>
      <c r="D193" s="198" t="str">
        <f t="shared" si="17"/>
        <v/>
      </c>
      <c r="E193" s="198" t="str">
        <f t="shared" si="18"/>
        <v/>
      </c>
      <c r="F193" s="198" t="str">
        <f t="shared" si="19"/>
        <v/>
      </c>
      <c r="G193" s="198" t="str">
        <f t="shared" si="20"/>
        <v/>
      </c>
      <c r="H193" s="200" t="str">
        <f t="shared" si="21"/>
        <v/>
      </c>
    </row>
    <row r="194" spans="1:8" ht="16.5">
      <c r="A194" s="177"/>
      <c r="B194" s="199" t="str">
        <f t="shared" si="15"/>
        <v/>
      </c>
      <c r="C194" s="197" t="str">
        <f t="shared" si="16"/>
        <v/>
      </c>
      <c r="D194" s="198" t="str">
        <f t="shared" si="17"/>
        <v/>
      </c>
      <c r="E194" s="198" t="str">
        <f t="shared" si="18"/>
        <v/>
      </c>
      <c r="F194" s="198" t="str">
        <f t="shared" si="19"/>
        <v/>
      </c>
      <c r="G194" s="198" t="str">
        <f t="shared" si="20"/>
        <v/>
      </c>
      <c r="H194" s="200" t="str">
        <f t="shared" si="21"/>
        <v/>
      </c>
    </row>
    <row r="195" spans="1:8" ht="16.5">
      <c r="A195" s="177"/>
      <c r="B195" s="199" t="str">
        <f t="shared" si="15"/>
        <v/>
      </c>
      <c r="C195" s="197" t="str">
        <f t="shared" si="16"/>
        <v/>
      </c>
      <c r="D195" s="198" t="str">
        <f t="shared" si="17"/>
        <v/>
      </c>
      <c r="E195" s="198" t="str">
        <f t="shared" si="18"/>
        <v/>
      </c>
      <c r="F195" s="198" t="str">
        <f t="shared" si="19"/>
        <v/>
      </c>
      <c r="G195" s="198" t="str">
        <f t="shared" si="20"/>
        <v/>
      </c>
      <c r="H195" s="200" t="str">
        <f t="shared" si="21"/>
        <v/>
      </c>
    </row>
    <row r="196" spans="1:8" ht="16.5">
      <c r="A196" s="177"/>
      <c r="B196" s="199" t="str">
        <f t="shared" si="15"/>
        <v/>
      </c>
      <c r="C196" s="197" t="str">
        <f t="shared" si="16"/>
        <v/>
      </c>
      <c r="D196" s="198" t="str">
        <f t="shared" si="17"/>
        <v/>
      </c>
      <c r="E196" s="198" t="str">
        <f t="shared" si="18"/>
        <v/>
      </c>
      <c r="F196" s="198" t="str">
        <f t="shared" si="19"/>
        <v/>
      </c>
      <c r="G196" s="198" t="str">
        <f t="shared" si="20"/>
        <v/>
      </c>
      <c r="H196" s="200" t="str">
        <f t="shared" si="21"/>
        <v/>
      </c>
    </row>
    <row r="197" spans="1:8" ht="16.5">
      <c r="A197" s="177"/>
      <c r="B197" s="199" t="str">
        <f t="shared" si="15"/>
        <v/>
      </c>
      <c r="C197" s="197" t="str">
        <f t="shared" si="16"/>
        <v/>
      </c>
      <c r="D197" s="198" t="str">
        <f t="shared" si="17"/>
        <v/>
      </c>
      <c r="E197" s="198" t="str">
        <f t="shared" si="18"/>
        <v/>
      </c>
      <c r="F197" s="198" t="str">
        <f t="shared" si="19"/>
        <v/>
      </c>
      <c r="G197" s="198" t="str">
        <f t="shared" si="20"/>
        <v/>
      </c>
      <c r="H197" s="200" t="str">
        <f t="shared" si="21"/>
        <v/>
      </c>
    </row>
    <row r="198" spans="1:8" ht="16.5">
      <c r="A198" s="177"/>
      <c r="B198" s="199" t="str">
        <f t="shared" si="15"/>
        <v/>
      </c>
      <c r="C198" s="197" t="str">
        <f t="shared" si="16"/>
        <v/>
      </c>
      <c r="D198" s="198" t="str">
        <f t="shared" si="17"/>
        <v/>
      </c>
      <c r="E198" s="198" t="str">
        <f t="shared" si="18"/>
        <v/>
      </c>
      <c r="F198" s="198" t="str">
        <f t="shared" si="19"/>
        <v/>
      </c>
      <c r="G198" s="198" t="str">
        <f t="shared" si="20"/>
        <v/>
      </c>
      <c r="H198" s="200" t="str">
        <f t="shared" si="21"/>
        <v/>
      </c>
    </row>
    <row r="199" spans="1:8" ht="16.5">
      <c r="A199" s="177"/>
      <c r="B199" s="199" t="str">
        <f t="shared" si="15"/>
        <v/>
      </c>
      <c r="C199" s="197" t="str">
        <f t="shared" si="16"/>
        <v/>
      </c>
      <c r="D199" s="198" t="str">
        <f t="shared" si="17"/>
        <v/>
      </c>
      <c r="E199" s="198" t="str">
        <f t="shared" si="18"/>
        <v/>
      </c>
      <c r="F199" s="198" t="str">
        <f t="shared" si="19"/>
        <v/>
      </c>
      <c r="G199" s="198" t="str">
        <f t="shared" si="20"/>
        <v/>
      </c>
      <c r="H199" s="200" t="str">
        <f t="shared" si="21"/>
        <v/>
      </c>
    </row>
    <row r="200" spans="1:8" ht="16.5">
      <c r="A200" s="177"/>
      <c r="B200" s="199" t="str">
        <f t="shared" si="15"/>
        <v/>
      </c>
      <c r="C200" s="197" t="str">
        <f t="shared" si="16"/>
        <v/>
      </c>
      <c r="D200" s="198" t="str">
        <f t="shared" si="17"/>
        <v/>
      </c>
      <c r="E200" s="198" t="str">
        <f t="shared" si="18"/>
        <v/>
      </c>
      <c r="F200" s="198" t="str">
        <f t="shared" si="19"/>
        <v/>
      </c>
      <c r="G200" s="198" t="str">
        <f t="shared" si="20"/>
        <v/>
      </c>
      <c r="H200" s="200" t="str">
        <f t="shared" si="21"/>
        <v/>
      </c>
    </row>
    <row r="201" spans="1:8" ht="16.5">
      <c r="A201" s="177"/>
      <c r="B201" s="199" t="str">
        <f t="shared" si="15"/>
        <v/>
      </c>
      <c r="C201" s="197" t="str">
        <f t="shared" si="16"/>
        <v/>
      </c>
      <c r="D201" s="198" t="str">
        <f t="shared" si="17"/>
        <v/>
      </c>
      <c r="E201" s="198" t="str">
        <f t="shared" si="18"/>
        <v/>
      </c>
      <c r="F201" s="198" t="str">
        <f t="shared" si="19"/>
        <v/>
      </c>
      <c r="G201" s="198" t="str">
        <f t="shared" si="20"/>
        <v/>
      </c>
      <c r="H201" s="200" t="str">
        <f t="shared" si="21"/>
        <v/>
      </c>
    </row>
    <row r="202" spans="1:8" ht="16.5">
      <c r="A202" s="177"/>
      <c r="B202" s="199" t="str">
        <f t="shared" si="15"/>
        <v/>
      </c>
      <c r="C202" s="197" t="str">
        <f t="shared" si="16"/>
        <v/>
      </c>
      <c r="D202" s="198" t="str">
        <f t="shared" si="17"/>
        <v/>
      </c>
      <c r="E202" s="198" t="str">
        <f t="shared" si="18"/>
        <v/>
      </c>
      <c r="F202" s="198" t="str">
        <f t="shared" si="19"/>
        <v/>
      </c>
      <c r="G202" s="198" t="str">
        <f t="shared" si="20"/>
        <v/>
      </c>
      <c r="H202" s="200" t="str">
        <f t="shared" si="21"/>
        <v/>
      </c>
    </row>
    <row r="203" spans="1:8" ht="16.5">
      <c r="A203" s="177"/>
      <c r="B203" s="199" t="str">
        <f t="shared" si="15"/>
        <v/>
      </c>
      <c r="C203" s="197" t="str">
        <f t="shared" si="16"/>
        <v/>
      </c>
      <c r="D203" s="198" t="str">
        <f t="shared" si="17"/>
        <v/>
      </c>
      <c r="E203" s="198" t="str">
        <f t="shared" si="18"/>
        <v/>
      </c>
      <c r="F203" s="198" t="str">
        <f t="shared" si="19"/>
        <v/>
      </c>
      <c r="G203" s="198" t="str">
        <f t="shared" si="20"/>
        <v/>
      </c>
      <c r="H203" s="200" t="str">
        <f t="shared" si="21"/>
        <v/>
      </c>
    </row>
    <row r="204" spans="1:8" ht="16.5">
      <c r="A204" s="177"/>
      <c r="B204" s="199" t="str">
        <f t="shared" si="15"/>
        <v/>
      </c>
      <c r="C204" s="197" t="str">
        <f t="shared" si="16"/>
        <v/>
      </c>
      <c r="D204" s="198" t="str">
        <f t="shared" si="17"/>
        <v/>
      </c>
      <c r="E204" s="198" t="str">
        <f t="shared" si="18"/>
        <v/>
      </c>
      <c r="F204" s="198" t="str">
        <f t="shared" si="19"/>
        <v/>
      </c>
      <c r="G204" s="198" t="str">
        <f t="shared" si="20"/>
        <v/>
      </c>
      <c r="H204" s="200" t="str">
        <f t="shared" si="21"/>
        <v/>
      </c>
    </row>
    <row r="205" spans="1:8" ht="16.5">
      <c r="A205" s="177"/>
      <c r="B205" s="199" t="str">
        <f t="shared" si="15"/>
        <v/>
      </c>
      <c r="C205" s="197" t="str">
        <f t="shared" si="16"/>
        <v/>
      </c>
      <c r="D205" s="198" t="str">
        <f t="shared" si="17"/>
        <v/>
      </c>
      <c r="E205" s="198" t="str">
        <f t="shared" si="18"/>
        <v/>
      </c>
      <c r="F205" s="198" t="str">
        <f t="shared" si="19"/>
        <v/>
      </c>
      <c r="G205" s="198" t="str">
        <f t="shared" si="20"/>
        <v/>
      </c>
      <c r="H205" s="200" t="str">
        <f t="shared" si="21"/>
        <v/>
      </c>
    </row>
    <row r="206" spans="1:8" ht="16.5">
      <c r="A206" s="177"/>
      <c r="B206" s="199" t="str">
        <f t="shared" si="15"/>
        <v/>
      </c>
      <c r="C206" s="197" t="str">
        <f t="shared" si="16"/>
        <v/>
      </c>
      <c r="D206" s="198" t="str">
        <f t="shared" si="17"/>
        <v/>
      </c>
      <c r="E206" s="198" t="str">
        <f t="shared" si="18"/>
        <v/>
      </c>
      <c r="F206" s="198" t="str">
        <f t="shared" si="19"/>
        <v/>
      </c>
      <c r="G206" s="198" t="str">
        <f t="shared" si="20"/>
        <v/>
      </c>
      <c r="H206" s="200" t="str">
        <f t="shared" si="21"/>
        <v/>
      </c>
    </row>
    <row r="207" spans="1:8" ht="16.5">
      <c r="A207" s="177"/>
      <c r="B207" s="199" t="str">
        <f t="shared" si="15"/>
        <v/>
      </c>
      <c r="C207" s="197" t="str">
        <f t="shared" si="16"/>
        <v/>
      </c>
      <c r="D207" s="198" t="str">
        <f t="shared" si="17"/>
        <v/>
      </c>
      <c r="E207" s="198" t="str">
        <f t="shared" si="18"/>
        <v/>
      </c>
      <c r="F207" s="198" t="str">
        <f t="shared" si="19"/>
        <v/>
      </c>
      <c r="G207" s="198" t="str">
        <f t="shared" si="20"/>
        <v/>
      </c>
      <c r="H207" s="200" t="str">
        <f t="shared" si="21"/>
        <v/>
      </c>
    </row>
    <row r="208" spans="1:8" ht="16.5">
      <c r="A208" s="177"/>
      <c r="B208" s="199" t="str">
        <f t="shared" ref="B208:B271" si="22">IF(Loan_Not_Paid*Values_Entered,Payment_Number,"")</f>
        <v/>
      </c>
      <c r="C208" s="197" t="str">
        <f t="shared" ref="C208:C271" si="23">IF(Loan_Not_Paid*Values_Entered,Payment_Date,"")</f>
        <v/>
      </c>
      <c r="D208" s="198" t="str">
        <f t="shared" ref="D208:D271" si="24">IF(Loan_Not_Paid*Values_Entered,Beginning_Balance,"")</f>
        <v/>
      </c>
      <c r="E208" s="198" t="str">
        <f t="shared" ref="E208:E271" si="25">IF(Loan_Not_Paid*Values_Entered,Monthly_Payment,"")</f>
        <v/>
      </c>
      <c r="F208" s="198" t="str">
        <f t="shared" ref="F208:F271" si="26">IF(Loan_Not_Paid*Values_Entered,Principal,"")</f>
        <v/>
      </c>
      <c r="G208" s="198" t="str">
        <f t="shared" ref="G208:G271" si="27">IF(Loan_Not_Paid*Values_Entered,Interest,"")</f>
        <v/>
      </c>
      <c r="H208" s="200" t="str">
        <f t="shared" ref="H208:H271" si="28">IF(Loan_Not_Paid*Values_Entered,Ending_Balance,"")</f>
        <v/>
      </c>
    </row>
    <row r="209" spans="1:8" ht="16.5">
      <c r="A209" s="177"/>
      <c r="B209" s="199" t="str">
        <f t="shared" si="22"/>
        <v/>
      </c>
      <c r="C209" s="197" t="str">
        <f t="shared" si="23"/>
        <v/>
      </c>
      <c r="D209" s="198" t="str">
        <f t="shared" si="24"/>
        <v/>
      </c>
      <c r="E209" s="198" t="str">
        <f t="shared" si="25"/>
        <v/>
      </c>
      <c r="F209" s="198" t="str">
        <f t="shared" si="26"/>
        <v/>
      </c>
      <c r="G209" s="198" t="str">
        <f t="shared" si="27"/>
        <v/>
      </c>
      <c r="H209" s="200" t="str">
        <f t="shared" si="28"/>
        <v/>
      </c>
    </row>
    <row r="210" spans="1:8" ht="16.5">
      <c r="A210" s="177"/>
      <c r="B210" s="199" t="str">
        <f t="shared" si="22"/>
        <v/>
      </c>
      <c r="C210" s="197" t="str">
        <f t="shared" si="23"/>
        <v/>
      </c>
      <c r="D210" s="198" t="str">
        <f t="shared" si="24"/>
        <v/>
      </c>
      <c r="E210" s="198" t="str">
        <f t="shared" si="25"/>
        <v/>
      </c>
      <c r="F210" s="198" t="str">
        <f t="shared" si="26"/>
        <v/>
      </c>
      <c r="G210" s="198" t="str">
        <f t="shared" si="27"/>
        <v/>
      </c>
      <c r="H210" s="200" t="str">
        <f t="shared" si="28"/>
        <v/>
      </c>
    </row>
    <row r="211" spans="1:8" ht="16.5">
      <c r="A211" s="177"/>
      <c r="B211" s="199" t="str">
        <f t="shared" si="22"/>
        <v/>
      </c>
      <c r="C211" s="197" t="str">
        <f t="shared" si="23"/>
        <v/>
      </c>
      <c r="D211" s="198" t="str">
        <f t="shared" si="24"/>
        <v/>
      </c>
      <c r="E211" s="198" t="str">
        <f t="shared" si="25"/>
        <v/>
      </c>
      <c r="F211" s="198" t="str">
        <f t="shared" si="26"/>
        <v/>
      </c>
      <c r="G211" s="198" t="str">
        <f t="shared" si="27"/>
        <v/>
      </c>
      <c r="H211" s="200" t="str">
        <f t="shared" si="28"/>
        <v/>
      </c>
    </row>
    <row r="212" spans="1:8" ht="16.5">
      <c r="A212" s="177"/>
      <c r="B212" s="199" t="str">
        <f t="shared" si="22"/>
        <v/>
      </c>
      <c r="C212" s="197" t="str">
        <f t="shared" si="23"/>
        <v/>
      </c>
      <c r="D212" s="198" t="str">
        <f t="shared" si="24"/>
        <v/>
      </c>
      <c r="E212" s="198" t="str">
        <f t="shared" si="25"/>
        <v/>
      </c>
      <c r="F212" s="198" t="str">
        <f t="shared" si="26"/>
        <v/>
      </c>
      <c r="G212" s="198" t="str">
        <f t="shared" si="27"/>
        <v/>
      </c>
      <c r="H212" s="200" t="str">
        <f t="shared" si="28"/>
        <v/>
      </c>
    </row>
    <row r="213" spans="1:8" ht="16.5">
      <c r="A213" s="177"/>
      <c r="B213" s="199" t="str">
        <f t="shared" si="22"/>
        <v/>
      </c>
      <c r="C213" s="197" t="str">
        <f t="shared" si="23"/>
        <v/>
      </c>
      <c r="D213" s="198" t="str">
        <f t="shared" si="24"/>
        <v/>
      </c>
      <c r="E213" s="198" t="str">
        <f t="shared" si="25"/>
        <v/>
      </c>
      <c r="F213" s="198" t="str">
        <f t="shared" si="26"/>
        <v/>
      </c>
      <c r="G213" s="198" t="str">
        <f t="shared" si="27"/>
        <v/>
      </c>
      <c r="H213" s="200" t="str">
        <f t="shared" si="28"/>
        <v/>
      </c>
    </row>
    <row r="214" spans="1:8" ht="16.5">
      <c r="A214" s="177"/>
      <c r="B214" s="199" t="str">
        <f t="shared" si="22"/>
        <v/>
      </c>
      <c r="C214" s="197" t="str">
        <f t="shared" si="23"/>
        <v/>
      </c>
      <c r="D214" s="198" t="str">
        <f t="shared" si="24"/>
        <v/>
      </c>
      <c r="E214" s="198" t="str">
        <f t="shared" si="25"/>
        <v/>
      </c>
      <c r="F214" s="198" t="str">
        <f t="shared" si="26"/>
        <v/>
      </c>
      <c r="G214" s="198" t="str">
        <f t="shared" si="27"/>
        <v/>
      </c>
      <c r="H214" s="200" t="str">
        <f t="shared" si="28"/>
        <v/>
      </c>
    </row>
    <row r="215" spans="1:8" ht="16.5">
      <c r="A215" s="177"/>
      <c r="B215" s="199" t="str">
        <f t="shared" si="22"/>
        <v/>
      </c>
      <c r="C215" s="197" t="str">
        <f t="shared" si="23"/>
        <v/>
      </c>
      <c r="D215" s="198" t="str">
        <f t="shared" si="24"/>
        <v/>
      </c>
      <c r="E215" s="198" t="str">
        <f t="shared" si="25"/>
        <v/>
      </c>
      <c r="F215" s="198" t="str">
        <f t="shared" si="26"/>
        <v/>
      </c>
      <c r="G215" s="198" t="str">
        <f t="shared" si="27"/>
        <v/>
      </c>
      <c r="H215" s="200" t="str">
        <f t="shared" si="28"/>
        <v/>
      </c>
    </row>
    <row r="216" spans="1:8" ht="16.5">
      <c r="A216" s="177"/>
      <c r="B216" s="199" t="str">
        <f t="shared" si="22"/>
        <v/>
      </c>
      <c r="C216" s="197" t="str">
        <f t="shared" si="23"/>
        <v/>
      </c>
      <c r="D216" s="198" t="str">
        <f t="shared" si="24"/>
        <v/>
      </c>
      <c r="E216" s="198" t="str">
        <f t="shared" si="25"/>
        <v/>
      </c>
      <c r="F216" s="198" t="str">
        <f t="shared" si="26"/>
        <v/>
      </c>
      <c r="G216" s="198" t="str">
        <f t="shared" si="27"/>
        <v/>
      </c>
      <c r="H216" s="200" t="str">
        <f t="shared" si="28"/>
        <v/>
      </c>
    </row>
    <row r="217" spans="1:8" ht="16.5">
      <c r="A217" s="177"/>
      <c r="B217" s="199" t="str">
        <f t="shared" si="22"/>
        <v/>
      </c>
      <c r="C217" s="197" t="str">
        <f t="shared" si="23"/>
        <v/>
      </c>
      <c r="D217" s="198" t="str">
        <f t="shared" si="24"/>
        <v/>
      </c>
      <c r="E217" s="198" t="str">
        <f t="shared" si="25"/>
        <v/>
      </c>
      <c r="F217" s="198" t="str">
        <f t="shared" si="26"/>
        <v/>
      </c>
      <c r="G217" s="198" t="str">
        <f t="shared" si="27"/>
        <v/>
      </c>
      <c r="H217" s="200" t="str">
        <f t="shared" si="28"/>
        <v/>
      </c>
    </row>
    <row r="218" spans="1:8" ht="16.5">
      <c r="A218" s="177"/>
      <c r="B218" s="199" t="str">
        <f t="shared" si="22"/>
        <v/>
      </c>
      <c r="C218" s="197" t="str">
        <f t="shared" si="23"/>
        <v/>
      </c>
      <c r="D218" s="198" t="str">
        <f t="shared" si="24"/>
        <v/>
      </c>
      <c r="E218" s="198" t="str">
        <f t="shared" si="25"/>
        <v/>
      </c>
      <c r="F218" s="198" t="str">
        <f t="shared" si="26"/>
        <v/>
      </c>
      <c r="G218" s="198" t="str">
        <f t="shared" si="27"/>
        <v/>
      </c>
      <c r="H218" s="200" t="str">
        <f t="shared" si="28"/>
        <v/>
      </c>
    </row>
    <row r="219" spans="1:8" ht="16.5">
      <c r="A219" s="177"/>
      <c r="B219" s="199" t="str">
        <f t="shared" si="22"/>
        <v/>
      </c>
      <c r="C219" s="197" t="str">
        <f t="shared" si="23"/>
        <v/>
      </c>
      <c r="D219" s="198" t="str">
        <f t="shared" si="24"/>
        <v/>
      </c>
      <c r="E219" s="198" t="str">
        <f t="shared" si="25"/>
        <v/>
      </c>
      <c r="F219" s="198" t="str">
        <f t="shared" si="26"/>
        <v/>
      </c>
      <c r="G219" s="198" t="str">
        <f t="shared" si="27"/>
        <v/>
      </c>
      <c r="H219" s="200" t="str">
        <f t="shared" si="28"/>
        <v/>
      </c>
    </row>
    <row r="220" spans="1:8" ht="16.5">
      <c r="A220" s="177"/>
      <c r="B220" s="199" t="str">
        <f t="shared" si="22"/>
        <v/>
      </c>
      <c r="C220" s="197" t="str">
        <f t="shared" si="23"/>
        <v/>
      </c>
      <c r="D220" s="198" t="str">
        <f t="shared" si="24"/>
        <v/>
      </c>
      <c r="E220" s="198" t="str">
        <f t="shared" si="25"/>
        <v/>
      </c>
      <c r="F220" s="198" t="str">
        <f t="shared" si="26"/>
        <v/>
      </c>
      <c r="G220" s="198" t="str">
        <f t="shared" si="27"/>
        <v/>
      </c>
      <c r="H220" s="200" t="str">
        <f t="shared" si="28"/>
        <v/>
      </c>
    </row>
    <row r="221" spans="1:8" ht="16.5">
      <c r="A221" s="177"/>
      <c r="B221" s="199" t="str">
        <f t="shared" si="22"/>
        <v/>
      </c>
      <c r="C221" s="197" t="str">
        <f t="shared" si="23"/>
        <v/>
      </c>
      <c r="D221" s="198" t="str">
        <f t="shared" si="24"/>
        <v/>
      </c>
      <c r="E221" s="198" t="str">
        <f t="shared" si="25"/>
        <v/>
      </c>
      <c r="F221" s="198" t="str">
        <f t="shared" si="26"/>
        <v/>
      </c>
      <c r="G221" s="198" t="str">
        <f t="shared" si="27"/>
        <v/>
      </c>
      <c r="H221" s="200" t="str">
        <f t="shared" si="28"/>
        <v/>
      </c>
    </row>
    <row r="222" spans="1:8" ht="16.5">
      <c r="A222" s="177"/>
      <c r="B222" s="199" t="str">
        <f t="shared" si="22"/>
        <v/>
      </c>
      <c r="C222" s="197" t="str">
        <f t="shared" si="23"/>
        <v/>
      </c>
      <c r="D222" s="198" t="str">
        <f t="shared" si="24"/>
        <v/>
      </c>
      <c r="E222" s="198" t="str">
        <f t="shared" si="25"/>
        <v/>
      </c>
      <c r="F222" s="198" t="str">
        <f t="shared" si="26"/>
        <v/>
      </c>
      <c r="G222" s="198" t="str">
        <f t="shared" si="27"/>
        <v/>
      </c>
      <c r="H222" s="200" t="str">
        <f t="shared" si="28"/>
        <v/>
      </c>
    </row>
    <row r="223" spans="1:8" ht="16.5">
      <c r="A223" s="177"/>
      <c r="B223" s="199" t="str">
        <f t="shared" si="22"/>
        <v/>
      </c>
      <c r="C223" s="197" t="str">
        <f t="shared" si="23"/>
        <v/>
      </c>
      <c r="D223" s="198" t="str">
        <f t="shared" si="24"/>
        <v/>
      </c>
      <c r="E223" s="198" t="str">
        <f t="shared" si="25"/>
        <v/>
      </c>
      <c r="F223" s="198" t="str">
        <f t="shared" si="26"/>
        <v/>
      </c>
      <c r="G223" s="198" t="str">
        <f t="shared" si="27"/>
        <v/>
      </c>
      <c r="H223" s="200" t="str">
        <f t="shared" si="28"/>
        <v/>
      </c>
    </row>
    <row r="224" spans="1:8" ht="16.5">
      <c r="A224" s="177"/>
      <c r="B224" s="199" t="str">
        <f t="shared" si="22"/>
        <v/>
      </c>
      <c r="C224" s="197" t="str">
        <f t="shared" si="23"/>
        <v/>
      </c>
      <c r="D224" s="198" t="str">
        <f t="shared" si="24"/>
        <v/>
      </c>
      <c r="E224" s="198" t="str">
        <f t="shared" si="25"/>
        <v/>
      </c>
      <c r="F224" s="198" t="str">
        <f t="shared" si="26"/>
        <v/>
      </c>
      <c r="G224" s="198" t="str">
        <f t="shared" si="27"/>
        <v/>
      </c>
      <c r="H224" s="200" t="str">
        <f t="shared" si="28"/>
        <v/>
      </c>
    </row>
    <row r="225" spans="1:8" ht="16.5">
      <c r="A225" s="177"/>
      <c r="B225" s="199" t="str">
        <f t="shared" si="22"/>
        <v/>
      </c>
      <c r="C225" s="197" t="str">
        <f t="shared" si="23"/>
        <v/>
      </c>
      <c r="D225" s="198" t="str">
        <f t="shared" si="24"/>
        <v/>
      </c>
      <c r="E225" s="198" t="str">
        <f t="shared" si="25"/>
        <v/>
      </c>
      <c r="F225" s="198" t="str">
        <f t="shared" si="26"/>
        <v/>
      </c>
      <c r="G225" s="198" t="str">
        <f t="shared" si="27"/>
        <v/>
      </c>
      <c r="H225" s="200" t="str">
        <f t="shared" si="28"/>
        <v/>
      </c>
    </row>
    <row r="226" spans="1:8" ht="16.5">
      <c r="A226" s="177"/>
      <c r="B226" s="199" t="str">
        <f t="shared" si="22"/>
        <v/>
      </c>
      <c r="C226" s="197" t="str">
        <f t="shared" si="23"/>
        <v/>
      </c>
      <c r="D226" s="198" t="str">
        <f t="shared" si="24"/>
        <v/>
      </c>
      <c r="E226" s="198" t="str">
        <f t="shared" si="25"/>
        <v/>
      </c>
      <c r="F226" s="198" t="str">
        <f t="shared" si="26"/>
        <v/>
      </c>
      <c r="G226" s="198" t="str">
        <f t="shared" si="27"/>
        <v/>
      </c>
      <c r="H226" s="200" t="str">
        <f t="shared" si="28"/>
        <v/>
      </c>
    </row>
    <row r="227" spans="1:8" ht="16.5">
      <c r="A227" s="177"/>
      <c r="B227" s="199" t="str">
        <f t="shared" si="22"/>
        <v/>
      </c>
      <c r="C227" s="197" t="str">
        <f t="shared" si="23"/>
        <v/>
      </c>
      <c r="D227" s="198" t="str">
        <f t="shared" si="24"/>
        <v/>
      </c>
      <c r="E227" s="198" t="str">
        <f t="shared" si="25"/>
        <v/>
      </c>
      <c r="F227" s="198" t="str">
        <f t="shared" si="26"/>
        <v/>
      </c>
      <c r="G227" s="198" t="str">
        <f t="shared" si="27"/>
        <v/>
      </c>
      <c r="H227" s="200" t="str">
        <f t="shared" si="28"/>
        <v/>
      </c>
    </row>
    <row r="228" spans="1:8" ht="16.5">
      <c r="A228" s="177"/>
      <c r="B228" s="199" t="str">
        <f t="shared" si="22"/>
        <v/>
      </c>
      <c r="C228" s="197" t="str">
        <f t="shared" si="23"/>
        <v/>
      </c>
      <c r="D228" s="198" t="str">
        <f t="shared" si="24"/>
        <v/>
      </c>
      <c r="E228" s="198" t="str">
        <f t="shared" si="25"/>
        <v/>
      </c>
      <c r="F228" s="198" t="str">
        <f t="shared" si="26"/>
        <v/>
      </c>
      <c r="G228" s="198" t="str">
        <f t="shared" si="27"/>
        <v/>
      </c>
      <c r="H228" s="200" t="str">
        <f t="shared" si="28"/>
        <v/>
      </c>
    </row>
    <row r="229" spans="1:8" ht="16.5">
      <c r="A229" s="177"/>
      <c r="B229" s="199" t="str">
        <f t="shared" si="22"/>
        <v/>
      </c>
      <c r="C229" s="197" t="str">
        <f t="shared" si="23"/>
        <v/>
      </c>
      <c r="D229" s="198" t="str">
        <f t="shared" si="24"/>
        <v/>
      </c>
      <c r="E229" s="198" t="str">
        <f t="shared" si="25"/>
        <v/>
      </c>
      <c r="F229" s="198" t="str">
        <f t="shared" si="26"/>
        <v/>
      </c>
      <c r="G229" s="198" t="str">
        <f t="shared" si="27"/>
        <v/>
      </c>
      <c r="H229" s="200" t="str">
        <f t="shared" si="28"/>
        <v/>
      </c>
    </row>
    <row r="230" spans="1:8" ht="16.5">
      <c r="A230" s="177"/>
      <c r="B230" s="199" t="str">
        <f t="shared" si="22"/>
        <v/>
      </c>
      <c r="C230" s="197" t="str">
        <f t="shared" si="23"/>
        <v/>
      </c>
      <c r="D230" s="198" t="str">
        <f t="shared" si="24"/>
        <v/>
      </c>
      <c r="E230" s="198" t="str">
        <f t="shared" si="25"/>
        <v/>
      </c>
      <c r="F230" s="198" t="str">
        <f t="shared" si="26"/>
        <v/>
      </c>
      <c r="G230" s="198" t="str">
        <f t="shared" si="27"/>
        <v/>
      </c>
      <c r="H230" s="200" t="str">
        <f t="shared" si="28"/>
        <v/>
      </c>
    </row>
    <row r="231" spans="1:8" ht="16.5">
      <c r="A231" s="177"/>
      <c r="B231" s="199" t="str">
        <f t="shared" si="22"/>
        <v/>
      </c>
      <c r="C231" s="197" t="str">
        <f t="shared" si="23"/>
        <v/>
      </c>
      <c r="D231" s="198" t="str">
        <f t="shared" si="24"/>
        <v/>
      </c>
      <c r="E231" s="198" t="str">
        <f t="shared" si="25"/>
        <v/>
      </c>
      <c r="F231" s="198" t="str">
        <f t="shared" si="26"/>
        <v/>
      </c>
      <c r="G231" s="198" t="str">
        <f t="shared" si="27"/>
        <v/>
      </c>
      <c r="H231" s="200" t="str">
        <f t="shared" si="28"/>
        <v/>
      </c>
    </row>
    <row r="232" spans="1:8" ht="16.5">
      <c r="A232" s="177"/>
      <c r="B232" s="199" t="str">
        <f t="shared" si="22"/>
        <v/>
      </c>
      <c r="C232" s="197" t="str">
        <f t="shared" si="23"/>
        <v/>
      </c>
      <c r="D232" s="198" t="str">
        <f t="shared" si="24"/>
        <v/>
      </c>
      <c r="E232" s="198" t="str">
        <f t="shared" si="25"/>
        <v/>
      </c>
      <c r="F232" s="198" t="str">
        <f t="shared" si="26"/>
        <v/>
      </c>
      <c r="G232" s="198" t="str">
        <f t="shared" si="27"/>
        <v/>
      </c>
      <c r="H232" s="200" t="str">
        <f t="shared" si="28"/>
        <v/>
      </c>
    </row>
    <row r="233" spans="1:8" ht="16.5">
      <c r="A233" s="177"/>
      <c r="B233" s="199" t="str">
        <f t="shared" si="22"/>
        <v/>
      </c>
      <c r="C233" s="197" t="str">
        <f t="shared" si="23"/>
        <v/>
      </c>
      <c r="D233" s="198" t="str">
        <f t="shared" si="24"/>
        <v/>
      </c>
      <c r="E233" s="198" t="str">
        <f t="shared" si="25"/>
        <v/>
      </c>
      <c r="F233" s="198" t="str">
        <f t="shared" si="26"/>
        <v/>
      </c>
      <c r="G233" s="198" t="str">
        <f t="shared" si="27"/>
        <v/>
      </c>
      <c r="H233" s="200" t="str">
        <f t="shared" si="28"/>
        <v/>
      </c>
    </row>
    <row r="234" spans="1:8" ht="16.5">
      <c r="A234" s="177"/>
      <c r="B234" s="199" t="str">
        <f t="shared" si="22"/>
        <v/>
      </c>
      <c r="C234" s="197" t="str">
        <f t="shared" si="23"/>
        <v/>
      </c>
      <c r="D234" s="198" t="str">
        <f t="shared" si="24"/>
        <v/>
      </c>
      <c r="E234" s="198" t="str">
        <f t="shared" si="25"/>
        <v/>
      </c>
      <c r="F234" s="198" t="str">
        <f t="shared" si="26"/>
        <v/>
      </c>
      <c r="G234" s="198" t="str">
        <f t="shared" si="27"/>
        <v/>
      </c>
      <c r="H234" s="200" t="str">
        <f t="shared" si="28"/>
        <v/>
      </c>
    </row>
    <row r="235" spans="1:8" ht="16.5">
      <c r="A235" s="177"/>
      <c r="B235" s="199" t="str">
        <f t="shared" si="22"/>
        <v/>
      </c>
      <c r="C235" s="197" t="str">
        <f t="shared" si="23"/>
        <v/>
      </c>
      <c r="D235" s="198" t="str">
        <f t="shared" si="24"/>
        <v/>
      </c>
      <c r="E235" s="198" t="str">
        <f t="shared" si="25"/>
        <v/>
      </c>
      <c r="F235" s="198" t="str">
        <f t="shared" si="26"/>
        <v/>
      </c>
      <c r="G235" s="198" t="str">
        <f t="shared" si="27"/>
        <v/>
      </c>
      <c r="H235" s="200" t="str">
        <f t="shared" si="28"/>
        <v/>
      </c>
    </row>
    <row r="236" spans="1:8" ht="16.5">
      <c r="A236" s="177"/>
      <c r="B236" s="199" t="str">
        <f t="shared" si="22"/>
        <v/>
      </c>
      <c r="C236" s="197" t="str">
        <f t="shared" si="23"/>
        <v/>
      </c>
      <c r="D236" s="198" t="str">
        <f t="shared" si="24"/>
        <v/>
      </c>
      <c r="E236" s="198" t="str">
        <f t="shared" si="25"/>
        <v/>
      </c>
      <c r="F236" s="198" t="str">
        <f t="shared" si="26"/>
        <v/>
      </c>
      <c r="G236" s="198" t="str">
        <f t="shared" si="27"/>
        <v/>
      </c>
      <c r="H236" s="200" t="str">
        <f t="shared" si="28"/>
        <v/>
      </c>
    </row>
    <row r="237" spans="1:8" ht="16.5">
      <c r="A237" s="177"/>
      <c r="B237" s="199" t="str">
        <f t="shared" si="22"/>
        <v/>
      </c>
      <c r="C237" s="197" t="str">
        <f t="shared" si="23"/>
        <v/>
      </c>
      <c r="D237" s="198" t="str">
        <f t="shared" si="24"/>
        <v/>
      </c>
      <c r="E237" s="198" t="str">
        <f t="shared" si="25"/>
        <v/>
      </c>
      <c r="F237" s="198" t="str">
        <f t="shared" si="26"/>
        <v/>
      </c>
      <c r="G237" s="198" t="str">
        <f t="shared" si="27"/>
        <v/>
      </c>
      <c r="H237" s="200" t="str">
        <f t="shared" si="28"/>
        <v/>
      </c>
    </row>
    <row r="238" spans="1:8" ht="16.5">
      <c r="A238" s="177"/>
      <c r="B238" s="199" t="str">
        <f t="shared" si="22"/>
        <v/>
      </c>
      <c r="C238" s="197" t="str">
        <f t="shared" si="23"/>
        <v/>
      </c>
      <c r="D238" s="198" t="str">
        <f t="shared" si="24"/>
        <v/>
      </c>
      <c r="E238" s="198" t="str">
        <f t="shared" si="25"/>
        <v/>
      </c>
      <c r="F238" s="198" t="str">
        <f t="shared" si="26"/>
        <v/>
      </c>
      <c r="G238" s="198" t="str">
        <f t="shared" si="27"/>
        <v/>
      </c>
      <c r="H238" s="200" t="str">
        <f t="shared" si="28"/>
        <v/>
      </c>
    </row>
    <row r="239" spans="1:8" ht="16.5">
      <c r="A239" s="177"/>
      <c r="B239" s="199" t="str">
        <f t="shared" si="22"/>
        <v/>
      </c>
      <c r="C239" s="197" t="str">
        <f t="shared" si="23"/>
        <v/>
      </c>
      <c r="D239" s="198" t="str">
        <f t="shared" si="24"/>
        <v/>
      </c>
      <c r="E239" s="198" t="str">
        <f t="shared" si="25"/>
        <v/>
      </c>
      <c r="F239" s="198" t="str">
        <f t="shared" si="26"/>
        <v/>
      </c>
      <c r="G239" s="198" t="str">
        <f t="shared" si="27"/>
        <v/>
      </c>
      <c r="H239" s="200" t="str">
        <f t="shared" si="28"/>
        <v/>
      </c>
    </row>
    <row r="240" spans="1:8" ht="16.5">
      <c r="A240" s="177"/>
      <c r="B240" s="199" t="str">
        <f t="shared" si="22"/>
        <v/>
      </c>
      <c r="C240" s="197" t="str">
        <f t="shared" si="23"/>
        <v/>
      </c>
      <c r="D240" s="198" t="str">
        <f t="shared" si="24"/>
        <v/>
      </c>
      <c r="E240" s="198" t="str">
        <f t="shared" si="25"/>
        <v/>
      </c>
      <c r="F240" s="198" t="str">
        <f t="shared" si="26"/>
        <v/>
      </c>
      <c r="G240" s="198" t="str">
        <f t="shared" si="27"/>
        <v/>
      </c>
      <c r="H240" s="200" t="str">
        <f t="shared" si="28"/>
        <v/>
      </c>
    </row>
    <row r="241" spans="1:8" ht="16.5">
      <c r="A241" s="177"/>
      <c r="B241" s="199" t="str">
        <f t="shared" si="22"/>
        <v/>
      </c>
      <c r="C241" s="197" t="str">
        <f t="shared" si="23"/>
        <v/>
      </c>
      <c r="D241" s="198" t="str">
        <f t="shared" si="24"/>
        <v/>
      </c>
      <c r="E241" s="198" t="str">
        <f t="shared" si="25"/>
        <v/>
      </c>
      <c r="F241" s="198" t="str">
        <f t="shared" si="26"/>
        <v/>
      </c>
      <c r="G241" s="198" t="str">
        <f t="shared" si="27"/>
        <v/>
      </c>
      <c r="H241" s="200" t="str">
        <f t="shared" si="28"/>
        <v/>
      </c>
    </row>
    <row r="242" spans="1:8" ht="16.5">
      <c r="A242" s="177"/>
      <c r="B242" s="199" t="str">
        <f t="shared" si="22"/>
        <v/>
      </c>
      <c r="C242" s="197" t="str">
        <f t="shared" si="23"/>
        <v/>
      </c>
      <c r="D242" s="198" t="str">
        <f t="shared" si="24"/>
        <v/>
      </c>
      <c r="E242" s="198" t="str">
        <f t="shared" si="25"/>
        <v/>
      </c>
      <c r="F242" s="198" t="str">
        <f t="shared" si="26"/>
        <v/>
      </c>
      <c r="G242" s="198" t="str">
        <f t="shared" si="27"/>
        <v/>
      </c>
      <c r="H242" s="200" t="str">
        <f t="shared" si="28"/>
        <v/>
      </c>
    </row>
    <row r="243" spans="1:8" ht="16.5">
      <c r="A243" s="177"/>
      <c r="B243" s="199" t="str">
        <f t="shared" si="22"/>
        <v/>
      </c>
      <c r="C243" s="197" t="str">
        <f t="shared" si="23"/>
        <v/>
      </c>
      <c r="D243" s="198" t="str">
        <f t="shared" si="24"/>
        <v/>
      </c>
      <c r="E243" s="198" t="str">
        <f t="shared" si="25"/>
        <v/>
      </c>
      <c r="F243" s="198" t="str">
        <f t="shared" si="26"/>
        <v/>
      </c>
      <c r="G243" s="198" t="str">
        <f t="shared" si="27"/>
        <v/>
      </c>
      <c r="H243" s="200" t="str">
        <f t="shared" si="28"/>
        <v/>
      </c>
    </row>
    <row r="244" spans="1:8" ht="16.5">
      <c r="A244" s="177"/>
      <c r="B244" s="199" t="str">
        <f t="shared" si="22"/>
        <v/>
      </c>
      <c r="C244" s="197" t="str">
        <f t="shared" si="23"/>
        <v/>
      </c>
      <c r="D244" s="198" t="str">
        <f t="shared" si="24"/>
        <v/>
      </c>
      <c r="E244" s="198" t="str">
        <f t="shared" si="25"/>
        <v/>
      </c>
      <c r="F244" s="198" t="str">
        <f t="shared" si="26"/>
        <v/>
      </c>
      <c r="G244" s="198" t="str">
        <f t="shared" si="27"/>
        <v/>
      </c>
      <c r="H244" s="200" t="str">
        <f t="shared" si="28"/>
        <v/>
      </c>
    </row>
    <row r="245" spans="1:8" ht="16.5">
      <c r="A245" s="177"/>
      <c r="B245" s="199" t="str">
        <f t="shared" si="22"/>
        <v/>
      </c>
      <c r="C245" s="197" t="str">
        <f t="shared" si="23"/>
        <v/>
      </c>
      <c r="D245" s="198" t="str">
        <f t="shared" si="24"/>
        <v/>
      </c>
      <c r="E245" s="198" t="str">
        <f t="shared" si="25"/>
        <v/>
      </c>
      <c r="F245" s="198" t="str">
        <f t="shared" si="26"/>
        <v/>
      </c>
      <c r="G245" s="198" t="str">
        <f t="shared" si="27"/>
        <v/>
      </c>
      <c r="H245" s="200" t="str">
        <f t="shared" si="28"/>
        <v/>
      </c>
    </row>
    <row r="246" spans="1:8" ht="16.5">
      <c r="A246" s="177"/>
      <c r="B246" s="199" t="str">
        <f t="shared" si="22"/>
        <v/>
      </c>
      <c r="C246" s="197" t="str">
        <f t="shared" si="23"/>
        <v/>
      </c>
      <c r="D246" s="198" t="str">
        <f t="shared" si="24"/>
        <v/>
      </c>
      <c r="E246" s="198" t="str">
        <f t="shared" si="25"/>
        <v/>
      </c>
      <c r="F246" s="198" t="str">
        <f t="shared" si="26"/>
        <v/>
      </c>
      <c r="G246" s="198" t="str">
        <f t="shared" si="27"/>
        <v/>
      </c>
      <c r="H246" s="200" t="str">
        <f t="shared" si="28"/>
        <v/>
      </c>
    </row>
    <row r="247" spans="1:8" ht="16.5">
      <c r="A247" s="177"/>
      <c r="B247" s="199" t="str">
        <f t="shared" si="22"/>
        <v/>
      </c>
      <c r="C247" s="197" t="str">
        <f t="shared" si="23"/>
        <v/>
      </c>
      <c r="D247" s="198" t="str">
        <f t="shared" si="24"/>
        <v/>
      </c>
      <c r="E247" s="198" t="str">
        <f t="shared" si="25"/>
        <v/>
      </c>
      <c r="F247" s="198" t="str">
        <f t="shared" si="26"/>
        <v/>
      </c>
      <c r="G247" s="198" t="str">
        <f t="shared" si="27"/>
        <v/>
      </c>
      <c r="H247" s="200" t="str">
        <f t="shared" si="28"/>
        <v/>
      </c>
    </row>
    <row r="248" spans="1:8" ht="16.5">
      <c r="A248" s="177"/>
      <c r="B248" s="199" t="str">
        <f t="shared" si="22"/>
        <v/>
      </c>
      <c r="C248" s="197" t="str">
        <f t="shared" si="23"/>
        <v/>
      </c>
      <c r="D248" s="198" t="str">
        <f t="shared" si="24"/>
        <v/>
      </c>
      <c r="E248" s="198" t="str">
        <f t="shared" si="25"/>
        <v/>
      </c>
      <c r="F248" s="198" t="str">
        <f t="shared" si="26"/>
        <v/>
      </c>
      <c r="G248" s="198" t="str">
        <f t="shared" si="27"/>
        <v/>
      </c>
      <c r="H248" s="200" t="str">
        <f t="shared" si="28"/>
        <v/>
      </c>
    </row>
    <row r="249" spans="1:8" ht="16.5">
      <c r="A249" s="177"/>
      <c r="B249" s="199" t="str">
        <f t="shared" si="22"/>
        <v/>
      </c>
      <c r="C249" s="197" t="str">
        <f t="shared" si="23"/>
        <v/>
      </c>
      <c r="D249" s="198" t="str">
        <f t="shared" si="24"/>
        <v/>
      </c>
      <c r="E249" s="198" t="str">
        <f t="shared" si="25"/>
        <v/>
      </c>
      <c r="F249" s="198" t="str">
        <f t="shared" si="26"/>
        <v/>
      </c>
      <c r="G249" s="198" t="str">
        <f t="shared" si="27"/>
        <v/>
      </c>
      <c r="H249" s="200" t="str">
        <f t="shared" si="28"/>
        <v/>
      </c>
    </row>
    <row r="250" spans="1:8" ht="16.5">
      <c r="A250" s="177"/>
      <c r="B250" s="199" t="str">
        <f t="shared" si="22"/>
        <v/>
      </c>
      <c r="C250" s="197" t="str">
        <f t="shared" si="23"/>
        <v/>
      </c>
      <c r="D250" s="198" t="str">
        <f t="shared" si="24"/>
        <v/>
      </c>
      <c r="E250" s="198" t="str">
        <f t="shared" si="25"/>
        <v/>
      </c>
      <c r="F250" s="198" t="str">
        <f t="shared" si="26"/>
        <v/>
      </c>
      <c r="G250" s="198" t="str">
        <f t="shared" si="27"/>
        <v/>
      </c>
      <c r="H250" s="200" t="str">
        <f t="shared" si="28"/>
        <v/>
      </c>
    </row>
    <row r="251" spans="1:8" ht="16.5">
      <c r="A251" s="177"/>
      <c r="B251" s="199" t="str">
        <f t="shared" si="22"/>
        <v/>
      </c>
      <c r="C251" s="197" t="str">
        <f t="shared" si="23"/>
        <v/>
      </c>
      <c r="D251" s="198" t="str">
        <f t="shared" si="24"/>
        <v/>
      </c>
      <c r="E251" s="198" t="str">
        <f t="shared" si="25"/>
        <v/>
      </c>
      <c r="F251" s="198" t="str">
        <f t="shared" si="26"/>
        <v/>
      </c>
      <c r="G251" s="198" t="str">
        <f t="shared" si="27"/>
        <v/>
      </c>
      <c r="H251" s="200" t="str">
        <f t="shared" si="28"/>
        <v/>
      </c>
    </row>
    <row r="252" spans="1:8" ht="16.5">
      <c r="A252" s="177"/>
      <c r="B252" s="199" t="str">
        <f t="shared" si="22"/>
        <v/>
      </c>
      <c r="C252" s="197" t="str">
        <f t="shared" si="23"/>
        <v/>
      </c>
      <c r="D252" s="198" t="str">
        <f t="shared" si="24"/>
        <v/>
      </c>
      <c r="E252" s="198" t="str">
        <f t="shared" si="25"/>
        <v/>
      </c>
      <c r="F252" s="198" t="str">
        <f t="shared" si="26"/>
        <v/>
      </c>
      <c r="G252" s="198" t="str">
        <f t="shared" si="27"/>
        <v/>
      </c>
      <c r="H252" s="200" t="str">
        <f t="shared" si="28"/>
        <v/>
      </c>
    </row>
    <row r="253" spans="1:8" ht="16.5">
      <c r="A253" s="177"/>
      <c r="B253" s="199" t="str">
        <f t="shared" si="22"/>
        <v/>
      </c>
      <c r="C253" s="197" t="str">
        <f t="shared" si="23"/>
        <v/>
      </c>
      <c r="D253" s="198" t="str">
        <f t="shared" si="24"/>
        <v/>
      </c>
      <c r="E253" s="198" t="str">
        <f t="shared" si="25"/>
        <v/>
      </c>
      <c r="F253" s="198" t="str">
        <f t="shared" si="26"/>
        <v/>
      </c>
      <c r="G253" s="198" t="str">
        <f t="shared" si="27"/>
        <v/>
      </c>
      <c r="H253" s="200" t="str">
        <f t="shared" si="28"/>
        <v/>
      </c>
    </row>
    <row r="254" spans="1:8" ht="16.5">
      <c r="A254" s="177"/>
      <c r="B254" s="199" t="str">
        <f t="shared" si="22"/>
        <v/>
      </c>
      <c r="C254" s="197" t="str">
        <f t="shared" si="23"/>
        <v/>
      </c>
      <c r="D254" s="198" t="str">
        <f t="shared" si="24"/>
        <v/>
      </c>
      <c r="E254" s="198" t="str">
        <f t="shared" si="25"/>
        <v/>
      </c>
      <c r="F254" s="198" t="str">
        <f t="shared" si="26"/>
        <v/>
      </c>
      <c r="G254" s="198" t="str">
        <f t="shared" si="27"/>
        <v/>
      </c>
      <c r="H254" s="200" t="str">
        <f t="shared" si="28"/>
        <v/>
      </c>
    </row>
    <row r="255" spans="1:8" ht="16.5">
      <c r="A255" s="177"/>
      <c r="B255" s="199" t="str">
        <f t="shared" si="22"/>
        <v/>
      </c>
      <c r="C255" s="197" t="str">
        <f t="shared" si="23"/>
        <v/>
      </c>
      <c r="D255" s="198" t="str">
        <f t="shared" si="24"/>
        <v/>
      </c>
      <c r="E255" s="198" t="str">
        <f t="shared" si="25"/>
        <v/>
      </c>
      <c r="F255" s="198" t="str">
        <f t="shared" si="26"/>
        <v/>
      </c>
      <c r="G255" s="198" t="str">
        <f t="shared" si="27"/>
        <v/>
      </c>
      <c r="H255" s="200" t="str">
        <f t="shared" si="28"/>
        <v/>
      </c>
    </row>
    <row r="256" spans="1:8" ht="16.5">
      <c r="A256" s="177"/>
      <c r="B256" s="199" t="str">
        <f t="shared" si="22"/>
        <v/>
      </c>
      <c r="C256" s="197" t="str">
        <f t="shared" si="23"/>
        <v/>
      </c>
      <c r="D256" s="198" t="str">
        <f t="shared" si="24"/>
        <v/>
      </c>
      <c r="E256" s="198" t="str">
        <f t="shared" si="25"/>
        <v/>
      </c>
      <c r="F256" s="198" t="str">
        <f t="shared" si="26"/>
        <v/>
      </c>
      <c r="G256" s="198" t="str">
        <f t="shared" si="27"/>
        <v/>
      </c>
      <c r="H256" s="200" t="str">
        <f t="shared" si="28"/>
        <v/>
      </c>
    </row>
    <row r="257" spans="1:8" ht="16.5">
      <c r="A257" s="177"/>
      <c r="B257" s="199" t="str">
        <f t="shared" si="22"/>
        <v/>
      </c>
      <c r="C257" s="197" t="str">
        <f t="shared" si="23"/>
        <v/>
      </c>
      <c r="D257" s="198" t="str">
        <f t="shared" si="24"/>
        <v/>
      </c>
      <c r="E257" s="198" t="str">
        <f t="shared" si="25"/>
        <v/>
      </c>
      <c r="F257" s="198" t="str">
        <f t="shared" si="26"/>
        <v/>
      </c>
      <c r="G257" s="198" t="str">
        <f t="shared" si="27"/>
        <v/>
      </c>
      <c r="H257" s="200" t="str">
        <f t="shared" si="28"/>
        <v/>
      </c>
    </row>
    <row r="258" spans="1:8" ht="16.5">
      <c r="A258" s="177"/>
      <c r="B258" s="199" t="str">
        <f t="shared" si="22"/>
        <v/>
      </c>
      <c r="C258" s="197" t="str">
        <f t="shared" si="23"/>
        <v/>
      </c>
      <c r="D258" s="198" t="str">
        <f t="shared" si="24"/>
        <v/>
      </c>
      <c r="E258" s="198" t="str">
        <f t="shared" si="25"/>
        <v/>
      </c>
      <c r="F258" s="198" t="str">
        <f t="shared" si="26"/>
        <v/>
      </c>
      <c r="G258" s="198" t="str">
        <f t="shared" si="27"/>
        <v/>
      </c>
      <c r="H258" s="200" t="str">
        <f t="shared" si="28"/>
        <v/>
      </c>
    </row>
    <row r="259" spans="1:8" ht="16.5">
      <c r="A259" s="177"/>
      <c r="B259" s="199" t="str">
        <f t="shared" si="22"/>
        <v/>
      </c>
      <c r="C259" s="197" t="str">
        <f t="shared" si="23"/>
        <v/>
      </c>
      <c r="D259" s="198" t="str">
        <f t="shared" si="24"/>
        <v/>
      </c>
      <c r="E259" s="198" t="str">
        <f t="shared" si="25"/>
        <v/>
      </c>
      <c r="F259" s="198" t="str">
        <f t="shared" si="26"/>
        <v/>
      </c>
      <c r="G259" s="198" t="str">
        <f t="shared" si="27"/>
        <v/>
      </c>
      <c r="H259" s="200" t="str">
        <f t="shared" si="28"/>
        <v/>
      </c>
    </row>
    <row r="260" spans="1:8" ht="16.5">
      <c r="A260" s="177"/>
      <c r="B260" s="199" t="str">
        <f t="shared" si="22"/>
        <v/>
      </c>
      <c r="C260" s="197" t="str">
        <f t="shared" si="23"/>
        <v/>
      </c>
      <c r="D260" s="198" t="str">
        <f t="shared" si="24"/>
        <v/>
      </c>
      <c r="E260" s="198" t="str">
        <f t="shared" si="25"/>
        <v/>
      </c>
      <c r="F260" s="198" t="str">
        <f t="shared" si="26"/>
        <v/>
      </c>
      <c r="G260" s="198" t="str">
        <f t="shared" si="27"/>
        <v/>
      </c>
      <c r="H260" s="200" t="str">
        <f t="shared" si="28"/>
        <v/>
      </c>
    </row>
    <row r="261" spans="1:8" ht="16.5">
      <c r="A261" s="177"/>
      <c r="B261" s="199" t="str">
        <f t="shared" si="22"/>
        <v/>
      </c>
      <c r="C261" s="197" t="str">
        <f t="shared" si="23"/>
        <v/>
      </c>
      <c r="D261" s="198" t="str">
        <f t="shared" si="24"/>
        <v/>
      </c>
      <c r="E261" s="198" t="str">
        <f t="shared" si="25"/>
        <v/>
      </c>
      <c r="F261" s="198" t="str">
        <f t="shared" si="26"/>
        <v/>
      </c>
      <c r="G261" s="198" t="str">
        <f t="shared" si="27"/>
        <v/>
      </c>
      <c r="H261" s="200" t="str">
        <f t="shared" si="28"/>
        <v/>
      </c>
    </row>
    <row r="262" spans="1:8" ht="16.5">
      <c r="A262" s="177"/>
      <c r="B262" s="199" t="str">
        <f t="shared" si="22"/>
        <v/>
      </c>
      <c r="C262" s="197" t="str">
        <f t="shared" si="23"/>
        <v/>
      </c>
      <c r="D262" s="198" t="str">
        <f t="shared" si="24"/>
        <v/>
      </c>
      <c r="E262" s="198" t="str">
        <f t="shared" si="25"/>
        <v/>
      </c>
      <c r="F262" s="198" t="str">
        <f t="shared" si="26"/>
        <v/>
      </c>
      <c r="G262" s="198" t="str">
        <f t="shared" si="27"/>
        <v/>
      </c>
      <c r="H262" s="200" t="str">
        <f t="shared" si="28"/>
        <v/>
      </c>
    </row>
    <row r="263" spans="1:8" ht="16.5">
      <c r="A263" s="177"/>
      <c r="B263" s="199" t="str">
        <f t="shared" si="22"/>
        <v/>
      </c>
      <c r="C263" s="197" t="str">
        <f t="shared" si="23"/>
        <v/>
      </c>
      <c r="D263" s="198" t="str">
        <f t="shared" si="24"/>
        <v/>
      </c>
      <c r="E263" s="198" t="str">
        <f t="shared" si="25"/>
        <v/>
      </c>
      <c r="F263" s="198" t="str">
        <f t="shared" si="26"/>
        <v/>
      </c>
      <c r="G263" s="198" t="str">
        <f t="shared" si="27"/>
        <v/>
      </c>
      <c r="H263" s="200" t="str">
        <f t="shared" si="28"/>
        <v/>
      </c>
    </row>
    <row r="264" spans="1:8" ht="16.5">
      <c r="A264" s="177"/>
      <c r="B264" s="199" t="str">
        <f t="shared" si="22"/>
        <v/>
      </c>
      <c r="C264" s="197" t="str">
        <f t="shared" si="23"/>
        <v/>
      </c>
      <c r="D264" s="198" t="str">
        <f t="shared" si="24"/>
        <v/>
      </c>
      <c r="E264" s="198" t="str">
        <f t="shared" si="25"/>
        <v/>
      </c>
      <c r="F264" s="198" t="str">
        <f t="shared" si="26"/>
        <v/>
      </c>
      <c r="G264" s="198" t="str">
        <f t="shared" si="27"/>
        <v/>
      </c>
      <c r="H264" s="200" t="str">
        <f t="shared" si="28"/>
        <v/>
      </c>
    </row>
    <row r="265" spans="1:8" ht="16.5">
      <c r="A265" s="177"/>
      <c r="B265" s="199" t="str">
        <f t="shared" si="22"/>
        <v/>
      </c>
      <c r="C265" s="197" t="str">
        <f t="shared" si="23"/>
        <v/>
      </c>
      <c r="D265" s="198" t="str">
        <f t="shared" si="24"/>
        <v/>
      </c>
      <c r="E265" s="198" t="str">
        <f t="shared" si="25"/>
        <v/>
      </c>
      <c r="F265" s="198" t="str">
        <f t="shared" si="26"/>
        <v/>
      </c>
      <c r="G265" s="198" t="str">
        <f t="shared" si="27"/>
        <v/>
      </c>
      <c r="H265" s="200" t="str">
        <f t="shared" si="28"/>
        <v/>
      </c>
    </row>
    <row r="266" spans="1:8" ht="16.5">
      <c r="A266" s="177"/>
      <c r="B266" s="199" t="str">
        <f t="shared" si="22"/>
        <v/>
      </c>
      <c r="C266" s="197" t="str">
        <f t="shared" si="23"/>
        <v/>
      </c>
      <c r="D266" s="198" t="str">
        <f t="shared" si="24"/>
        <v/>
      </c>
      <c r="E266" s="198" t="str">
        <f t="shared" si="25"/>
        <v/>
      </c>
      <c r="F266" s="198" t="str">
        <f t="shared" si="26"/>
        <v/>
      </c>
      <c r="G266" s="198" t="str">
        <f t="shared" si="27"/>
        <v/>
      </c>
      <c r="H266" s="200" t="str">
        <f t="shared" si="28"/>
        <v/>
      </c>
    </row>
    <row r="267" spans="1:8" ht="16.5">
      <c r="A267" s="177"/>
      <c r="B267" s="199" t="str">
        <f t="shared" si="22"/>
        <v/>
      </c>
      <c r="C267" s="197" t="str">
        <f t="shared" si="23"/>
        <v/>
      </c>
      <c r="D267" s="198" t="str">
        <f t="shared" si="24"/>
        <v/>
      </c>
      <c r="E267" s="198" t="str">
        <f t="shared" si="25"/>
        <v/>
      </c>
      <c r="F267" s="198" t="str">
        <f t="shared" si="26"/>
        <v/>
      </c>
      <c r="G267" s="198" t="str">
        <f t="shared" si="27"/>
        <v/>
      </c>
      <c r="H267" s="200" t="str">
        <f t="shared" si="28"/>
        <v/>
      </c>
    </row>
    <row r="268" spans="1:8" ht="16.5">
      <c r="A268" s="177"/>
      <c r="B268" s="199" t="str">
        <f t="shared" si="22"/>
        <v/>
      </c>
      <c r="C268" s="197" t="str">
        <f t="shared" si="23"/>
        <v/>
      </c>
      <c r="D268" s="198" t="str">
        <f t="shared" si="24"/>
        <v/>
      </c>
      <c r="E268" s="198" t="str">
        <f t="shared" si="25"/>
        <v/>
      </c>
      <c r="F268" s="198" t="str">
        <f t="shared" si="26"/>
        <v/>
      </c>
      <c r="G268" s="198" t="str">
        <f t="shared" si="27"/>
        <v/>
      </c>
      <c r="H268" s="200" t="str">
        <f t="shared" si="28"/>
        <v/>
      </c>
    </row>
    <row r="269" spans="1:8" ht="16.5">
      <c r="A269" s="177"/>
      <c r="B269" s="199" t="str">
        <f t="shared" si="22"/>
        <v/>
      </c>
      <c r="C269" s="197" t="str">
        <f t="shared" si="23"/>
        <v/>
      </c>
      <c r="D269" s="198" t="str">
        <f t="shared" si="24"/>
        <v/>
      </c>
      <c r="E269" s="198" t="str">
        <f t="shared" si="25"/>
        <v/>
      </c>
      <c r="F269" s="198" t="str">
        <f t="shared" si="26"/>
        <v/>
      </c>
      <c r="G269" s="198" t="str">
        <f t="shared" si="27"/>
        <v/>
      </c>
      <c r="H269" s="200" t="str">
        <f t="shared" si="28"/>
        <v/>
      </c>
    </row>
    <row r="270" spans="1:8" ht="16.5">
      <c r="A270" s="177"/>
      <c r="B270" s="199" t="str">
        <f t="shared" si="22"/>
        <v/>
      </c>
      <c r="C270" s="197" t="str">
        <f t="shared" si="23"/>
        <v/>
      </c>
      <c r="D270" s="198" t="str">
        <f t="shared" si="24"/>
        <v/>
      </c>
      <c r="E270" s="198" t="str">
        <f t="shared" si="25"/>
        <v/>
      </c>
      <c r="F270" s="198" t="str">
        <f t="shared" si="26"/>
        <v/>
      </c>
      <c r="G270" s="198" t="str">
        <f t="shared" si="27"/>
        <v/>
      </c>
      <c r="H270" s="200" t="str">
        <f t="shared" si="28"/>
        <v/>
      </c>
    </row>
    <row r="271" spans="1:8" ht="16.5">
      <c r="A271" s="177"/>
      <c r="B271" s="199" t="str">
        <f t="shared" si="22"/>
        <v/>
      </c>
      <c r="C271" s="197" t="str">
        <f t="shared" si="23"/>
        <v/>
      </c>
      <c r="D271" s="198" t="str">
        <f t="shared" si="24"/>
        <v/>
      </c>
      <c r="E271" s="198" t="str">
        <f t="shared" si="25"/>
        <v/>
      </c>
      <c r="F271" s="198" t="str">
        <f t="shared" si="26"/>
        <v/>
      </c>
      <c r="G271" s="198" t="str">
        <f t="shared" si="27"/>
        <v/>
      </c>
      <c r="H271" s="200" t="str">
        <f t="shared" si="28"/>
        <v/>
      </c>
    </row>
    <row r="272" spans="1:8" ht="16.5">
      <c r="A272" s="177"/>
      <c r="B272" s="199" t="str">
        <f t="shared" ref="B272:B335" si="29">IF(Loan_Not_Paid*Values_Entered,Payment_Number,"")</f>
        <v/>
      </c>
      <c r="C272" s="197" t="str">
        <f t="shared" ref="C272:C335" si="30">IF(Loan_Not_Paid*Values_Entered,Payment_Date,"")</f>
        <v/>
      </c>
      <c r="D272" s="198" t="str">
        <f t="shared" ref="D272:D335" si="31">IF(Loan_Not_Paid*Values_Entered,Beginning_Balance,"")</f>
        <v/>
      </c>
      <c r="E272" s="198" t="str">
        <f t="shared" ref="E272:E335" si="32">IF(Loan_Not_Paid*Values_Entered,Monthly_Payment,"")</f>
        <v/>
      </c>
      <c r="F272" s="198" t="str">
        <f t="shared" ref="F272:F335" si="33">IF(Loan_Not_Paid*Values_Entered,Principal,"")</f>
        <v/>
      </c>
      <c r="G272" s="198" t="str">
        <f t="shared" ref="G272:G335" si="34">IF(Loan_Not_Paid*Values_Entered,Interest,"")</f>
        <v/>
      </c>
      <c r="H272" s="200" t="str">
        <f t="shared" ref="H272:H335" si="35">IF(Loan_Not_Paid*Values_Entered,Ending_Balance,"")</f>
        <v/>
      </c>
    </row>
    <row r="273" spans="1:8" ht="16.5">
      <c r="A273" s="177"/>
      <c r="B273" s="199" t="str">
        <f t="shared" si="29"/>
        <v/>
      </c>
      <c r="C273" s="197" t="str">
        <f t="shared" si="30"/>
        <v/>
      </c>
      <c r="D273" s="198" t="str">
        <f t="shared" si="31"/>
        <v/>
      </c>
      <c r="E273" s="198" t="str">
        <f t="shared" si="32"/>
        <v/>
      </c>
      <c r="F273" s="198" t="str">
        <f t="shared" si="33"/>
        <v/>
      </c>
      <c r="G273" s="198" t="str">
        <f t="shared" si="34"/>
        <v/>
      </c>
      <c r="H273" s="200" t="str">
        <f t="shared" si="35"/>
        <v/>
      </c>
    </row>
    <row r="274" spans="1:8" ht="16.5">
      <c r="A274" s="177"/>
      <c r="B274" s="199" t="str">
        <f t="shared" si="29"/>
        <v/>
      </c>
      <c r="C274" s="197" t="str">
        <f t="shared" si="30"/>
        <v/>
      </c>
      <c r="D274" s="198" t="str">
        <f t="shared" si="31"/>
        <v/>
      </c>
      <c r="E274" s="198" t="str">
        <f t="shared" si="32"/>
        <v/>
      </c>
      <c r="F274" s="198" t="str">
        <f t="shared" si="33"/>
        <v/>
      </c>
      <c r="G274" s="198" t="str">
        <f t="shared" si="34"/>
        <v/>
      </c>
      <c r="H274" s="200" t="str">
        <f t="shared" si="35"/>
        <v/>
      </c>
    </row>
    <row r="275" spans="1:8" ht="16.5">
      <c r="A275" s="177"/>
      <c r="B275" s="199" t="str">
        <f t="shared" si="29"/>
        <v/>
      </c>
      <c r="C275" s="197" t="str">
        <f t="shared" si="30"/>
        <v/>
      </c>
      <c r="D275" s="198" t="str">
        <f t="shared" si="31"/>
        <v/>
      </c>
      <c r="E275" s="198" t="str">
        <f t="shared" si="32"/>
        <v/>
      </c>
      <c r="F275" s="198" t="str">
        <f t="shared" si="33"/>
        <v/>
      </c>
      <c r="G275" s="198" t="str">
        <f t="shared" si="34"/>
        <v/>
      </c>
      <c r="H275" s="200" t="str">
        <f t="shared" si="35"/>
        <v/>
      </c>
    </row>
    <row r="276" spans="1:8" ht="16.5">
      <c r="A276" s="177"/>
      <c r="B276" s="199" t="str">
        <f t="shared" si="29"/>
        <v/>
      </c>
      <c r="C276" s="197" t="str">
        <f t="shared" si="30"/>
        <v/>
      </c>
      <c r="D276" s="198" t="str">
        <f t="shared" si="31"/>
        <v/>
      </c>
      <c r="E276" s="198" t="str">
        <f t="shared" si="32"/>
        <v/>
      </c>
      <c r="F276" s="198" t="str">
        <f t="shared" si="33"/>
        <v/>
      </c>
      <c r="G276" s="198" t="str">
        <f t="shared" si="34"/>
        <v/>
      </c>
      <c r="H276" s="200" t="str">
        <f t="shared" si="35"/>
        <v/>
      </c>
    </row>
    <row r="277" spans="1:8" ht="16.5">
      <c r="A277" s="177"/>
      <c r="B277" s="199" t="str">
        <f t="shared" si="29"/>
        <v/>
      </c>
      <c r="C277" s="197" t="str">
        <f t="shared" si="30"/>
        <v/>
      </c>
      <c r="D277" s="198" t="str">
        <f t="shared" si="31"/>
        <v/>
      </c>
      <c r="E277" s="198" t="str">
        <f t="shared" si="32"/>
        <v/>
      </c>
      <c r="F277" s="198" t="str">
        <f t="shared" si="33"/>
        <v/>
      </c>
      <c r="G277" s="198" t="str">
        <f t="shared" si="34"/>
        <v/>
      </c>
      <c r="H277" s="200" t="str">
        <f t="shared" si="35"/>
        <v/>
      </c>
    </row>
    <row r="278" spans="1:8" ht="16.5">
      <c r="A278" s="177"/>
      <c r="B278" s="199" t="str">
        <f t="shared" si="29"/>
        <v/>
      </c>
      <c r="C278" s="197" t="str">
        <f t="shared" si="30"/>
        <v/>
      </c>
      <c r="D278" s="198" t="str">
        <f t="shared" si="31"/>
        <v/>
      </c>
      <c r="E278" s="198" t="str">
        <f t="shared" si="32"/>
        <v/>
      </c>
      <c r="F278" s="198" t="str">
        <f t="shared" si="33"/>
        <v/>
      </c>
      <c r="G278" s="198" t="str">
        <f t="shared" si="34"/>
        <v/>
      </c>
      <c r="H278" s="200" t="str">
        <f t="shared" si="35"/>
        <v/>
      </c>
    </row>
    <row r="279" spans="1:8" ht="16.5">
      <c r="A279" s="177"/>
      <c r="B279" s="199" t="str">
        <f t="shared" si="29"/>
        <v/>
      </c>
      <c r="C279" s="197" t="str">
        <f t="shared" si="30"/>
        <v/>
      </c>
      <c r="D279" s="198" t="str">
        <f t="shared" si="31"/>
        <v/>
      </c>
      <c r="E279" s="198" t="str">
        <f t="shared" si="32"/>
        <v/>
      </c>
      <c r="F279" s="198" t="str">
        <f t="shared" si="33"/>
        <v/>
      </c>
      <c r="G279" s="198" t="str">
        <f t="shared" si="34"/>
        <v/>
      </c>
      <c r="H279" s="200" t="str">
        <f t="shared" si="35"/>
        <v/>
      </c>
    </row>
    <row r="280" spans="1:8" ht="16.5">
      <c r="A280" s="177"/>
      <c r="B280" s="199" t="str">
        <f t="shared" si="29"/>
        <v/>
      </c>
      <c r="C280" s="197" t="str">
        <f t="shared" si="30"/>
        <v/>
      </c>
      <c r="D280" s="198" t="str">
        <f t="shared" si="31"/>
        <v/>
      </c>
      <c r="E280" s="198" t="str">
        <f t="shared" si="32"/>
        <v/>
      </c>
      <c r="F280" s="198" t="str">
        <f t="shared" si="33"/>
        <v/>
      </c>
      <c r="G280" s="198" t="str">
        <f t="shared" si="34"/>
        <v/>
      </c>
      <c r="H280" s="200" t="str">
        <f t="shared" si="35"/>
        <v/>
      </c>
    </row>
    <row r="281" spans="1:8" ht="16.5">
      <c r="A281" s="177"/>
      <c r="B281" s="199" t="str">
        <f t="shared" si="29"/>
        <v/>
      </c>
      <c r="C281" s="197" t="str">
        <f t="shared" si="30"/>
        <v/>
      </c>
      <c r="D281" s="198" t="str">
        <f t="shared" si="31"/>
        <v/>
      </c>
      <c r="E281" s="198" t="str">
        <f t="shared" si="32"/>
        <v/>
      </c>
      <c r="F281" s="198" t="str">
        <f t="shared" si="33"/>
        <v/>
      </c>
      <c r="G281" s="198" t="str">
        <f t="shared" si="34"/>
        <v/>
      </c>
      <c r="H281" s="200" t="str">
        <f t="shared" si="35"/>
        <v/>
      </c>
    </row>
    <row r="282" spans="1:8" ht="16.5">
      <c r="A282" s="177"/>
      <c r="B282" s="199" t="str">
        <f t="shared" si="29"/>
        <v/>
      </c>
      <c r="C282" s="197" t="str">
        <f t="shared" si="30"/>
        <v/>
      </c>
      <c r="D282" s="198" t="str">
        <f t="shared" si="31"/>
        <v/>
      </c>
      <c r="E282" s="198" t="str">
        <f t="shared" si="32"/>
        <v/>
      </c>
      <c r="F282" s="198" t="str">
        <f t="shared" si="33"/>
        <v/>
      </c>
      <c r="G282" s="198" t="str">
        <f t="shared" si="34"/>
        <v/>
      </c>
      <c r="H282" s="200" t="str">
        <f t="shared" si="35"/>
        <v/>
      </c>
    </row>
    <row r="283" spans="1:8" ht="16.5">
      <c r="A283" s="177"/>
      <c r="B283" s="199" t="str">
        <f t="shared" si="29"/>
        <v/>
      </c>
      <c r="C283" s="197" t="str">
        <f t="shared" si="30"/>
        <v/>
      </c>
      <c r="D283" s="198" t="str">
        <f t="shared" si="31"/>
        <v/>
      </c>
      <c r="E283" s="198" t="str">
        <f t="shared" si="32"/>
        <v/>
      </c>
      <c r="F283" s="198" t="str">
        <f t="shared" si="33"/>
        <v/>
      </c>
      <c r="G283" s="198" t="str">
        <f t="shared" si="34"/>
        <v/>
      </c>
      <c r="H283" s="200" t="str">
        <f t="shared" si="35"/>
        <v/>
      </c>
    </row>
    <row r="284" spans="1:8" ht="16.5">
      <c r="A284" s="177"/>
      <c r="B284" s="199" t="str">
        <f t="shared" si="29"/>
        <v/>
      </c>
      <c r="C284" s="197" t="str">
        <f t="shared" si="30"/>
        <v/>
      </c>
      <c r="D284" s="198" t="str">
        <f t="shared" si="31"/>
        <v/>
      </c>
      <c r="E284" s="198" t="str">
        <f t="shared" si="32"/>
        <v/>
      </c>
      <c r="F284" s="198" t="str">
        <f t="shared" si="33"/>
        <v/>
      </c>
      <c r="G284" s="198" t="str">
        <f t="shared" si="34"/>
        <v/>
      </c>
      <c r="H284" s="200" t="str">
        <f t="shared" si="35"/>
        <v/>
      </c>
    </row>
    <row r="285" spans="1:8" ht="16.5">
      <c r="A285" s="177"/>
      <c r="B285" s="199" t="str">
        <f t="shared" si="29"/>
        <v/>
      </c>
      <c r="C285" s="197" t="str">
        <f t="shared" si="30"/>
        <v/>
      </c>
      <c r="D285" s="198" t="str">
        <f t="shared" si="31"/>
        <v/>
      </c>
      <c r="E285" s="198" t="str">
        <f t="shared" si="32"/>
        <v/>
      </c>
      <c r="F285" s="198" t="str">
        <f t="shared" si="33"/>
        <v/>
      </c>
      <c r="G285" s="198" t="str">
        <f t="shared" si="34"/>
        <v/>
      </c>
      <c r="H285" s="200" t="str">
        <f t="shared" si="35"/>
        <v/>
      </c>
    </row>
    <row r="286" spans="1:8" ht="16.5">
      <c r="A286" s="177"/>
      <c r="B286" s="199" t="str">
        <f t="shared" si="29"/>
        <v/>
      </c>
      <c r="C286" s="197" t="str">
        <f t="shared" si="30"/>
        <v/>
      </c>
      <c r="D286" s="198" t="str">
        <f t="shared" si="31"/>
        <v/>
      </c>
      <c r="E286" s="198" t="str">
        <f t="shared" si="32"/>
        <v/>
      </c>
      <c r="F286" s="198" t="str">
        <f t="shared" si="33"/>
        <v/>
      </c>
      <c r="G286" s="198" t="str">
        <f t="shared" si="34"/>
        <v/>
      </c>
      <c r="H286" s="200" t="str">
        <f t="shared" si="35"/>
        <v/>
      </c>
    </row>
    <row r="287" spans="1:8" ht="16.5">
      <c r="A287" s="177"/>
      <c r="B287" s="199" t="str">
        <f t="shared" si="29"/>
        <v/>
      </c>
      <c r="C287" s="197" t="str">
        <f t="shared" si="30"/>
        <v/>
      </c>
      <c r="D287" s="198" t="str">
        <f t="shared" si="31"/>
        <v/>
      </c>
      <c r="E287" s="198" t="str">
        <f t="shared" si="32"/>
        <v/>
      </c>
      <c r="F287" s="198" t="str">
        <f t="shared" si="33"/>
        <v/>
      </c>
      <c r="G287" s="198" t="str">
        <f t="shared" si="34"/>
        <v/>
      </c>
      <c r="H287" s="200" t="str">
        <f t="shared" si="35"/>
        <v/>
      </c>
    </row>
    <row r="288" spans="1:8" ht="16.5">
      <c r="A288" s="177"/>
      <c r="B288" s="199" t="str">
        <f t="shared" si="29"/>
        <v/>
      </c>
      <c r="C288" s="197" t="str">
        <f t="shared" si="30"/>
        <v/>
      </c>
      <c r="D288" s="198" t="str">
        <f t="shared" si="31"/>
        <v/>
      </c>
      <c r="E288" s="198" t="str">
        <f t="shared" si="32"/>
        <v/>
      </c>
      <c r="F288" s="198" t="str">
        <f t="shared" si="33"/>
        <v/>
      </c>
      <c r="G288" s="198" t="str">
        <f t="shared" si="34"/>
        <v/>
      </c>
      <c r="H288" s="200" t="str">
        <f t="shared" si="35"/>
        <v/>
      </c>
    </row>
    <row r="289" spans="1:8" ht="16.5">
      <c r="A289" s="177"/>
      <c r="B289" s="199" t="str">
        <f t="shared" si="29"/>
        <v/>
      </c>
      <c r="C289" s="197" t="str">
        <f t="shared" si="30"/>
        <v/>
      </c>
      <c r="D289" s="198" t="str">
        <f t="shared" si="31"/>
        <v/>
      </c>
      <c r="E289" s="198" t="str">
        <f t="shared" si="32"/>
        <v/>
      </c>
      <c r="F289" s="198" t="str">
        <f t="shared" si="33"/>
        <v/>
      </c>
      <c r="G289" s="198" t="str">
        <f t="shared" si="34"/>
        <v/>
      </c>
      <c r="H289" s="200" t="str">
        <f t="shared" si="35"/>
        <v/>
      </c>
    </row>
    <row r="290" spans="1:8" ht="16.5">
      <c r="A290" s="177"/>
      <c r="B290" s="199" t="str">
        <f t="shared" si="29"/>
        <v/>
      </c>
      <c r="C290" s="197" t="str">
        <f t="shared" si="30"/>
        <v/>
      </c>
      <c r="D290" s="198" t="str">
        <f t="shared" si="31"/>
        <v/>
      </c>
      <c r="E290" s="198" t="str">
        <f t="shared" si="32"/>
        <v/>
      </c>
      <c r="F290" s="198" t="str">
        <f t="shared" si="33"/>
        <v/>
      </c>
      <c r="G290" s="198" t="str">
        <f t="shared" si="34"/>
        <v/>
      </c>
      <c r="H290" s="200" t="str">
        <f t="shared" si="35"/>
        <v/>
      </c>
    </row>
    <row r="291" spans="1:8" ht="16.5">
      <c r="A291" s="177"/>
      <c r="B291" s="199" t="str">
        <f t="shared" si="29"/>
        <v/>
      </c>
      <c r="C291" s="197" t="str">
        <f t="shared" si="30"/>
        <v/>
      </c>
      <c r="D291" s="198" t="str">
        <f t="shared" si="31"/>
        <v/>
      </c>
      <c r="E291" s="198" t="str">
        <f t="shared" si="32"/>
        <v/>
      </c>
      <c r="F291" s="198" t="str">
        <f t="shared" si="33"/>
        <v/>
      </c>
      <c r="G291" s="198" t="str">
        <f t="shared" si="34"/>
        <v/>
      </c>
      <c r="H291" s="200" t="str">
        <f t="shared" si="35"/>
        <v/>
      </c>
    </row>
    <row r="292" spans="1:8" ht="16.5">
      <c r="A292" s="177"/>
      <c r="B292" s="199" t="str">
        <f t="shared" si="29"/>
        <v/>
      </c>
      <c r="C292" s="197" t="str">
        <f t="shared" si="30"/>
        <v/>
      </c>
      <c r="D292" s="198" t="str">
        <f t="shared" si="31"/>
        <v/>
      </c>
      <c r="E292" s="198" t="str">
        <f t="shared" si="32"/>
        <v/>
      </c>
      <c r="F292" s="198" t="str">
        <f t="shared" si="33"/>
        <v/>
      </c>
      <c r="G292" s="198" t="str">
        <f t="shared" si="34"/>
        <v/>
      </c>
      <c r="H292" s="200" t="str">
        <f t="shared" si="35"/>
        <v/>
      </c>
    </row>
    <row r="293" spans="1:8" ht="16.5">
      <c r="A293" s="177"/>
      <c r="B293" s="199" t="str">
        <f t="shared" si="29"/>
        <v/>
      </c>
      <c r="C293" s="197" t="str">
        <f t="shared" si="30"/>
        <v/>
      </c>
      <c r="D293" s="198" t="str">
        <f t="shared" si="31"/>
        <v/>
      </c>
      <c r="E293" s="198" t="str">
        <f t="shared" si="32"/>
        <v/>
      </c>
      <c r="F293" s="198" t="str">
        <f t="shared" si="33"/>
        <v/>
      </c>
      <c r="G293" s="198" t="str">
        <f t="shared" si="34"/>
        <v/>
      </c>
      <c r="H293" s="200" t="str">
        <f t="shared" si="35"/>
        <v/>
      </c>
    </row>
    <row r="294" spans="1:8" ht="16.5">
      <c r="A294" s="177"/>
      <c r="B294" s="199" t="str">
        <f t="shared" si="29"/>
        <v/>
      </c>
      <c r="C294" s="197" t="str">
        <f t="shared" si="30"/>
        <v/>
      </c>
      <c r="D294" s="198" t="str">
        <f t="shared" si="31"/>
        <v/>
      </c>
      <c r="E294" s="198" t="str">
        <f t="shared" si="32"/>
        <v/>
      </c>
      <c r="F294" s="198" t="str">
        <f t="shared" si="33"/>
        <v/>
      </c>
      <c r="G294" s="198" t="str">
        <f t="shared" si="34"/>
        <v/>
      </c>
      <c r="H294" s="200" t="str">
        <f t="shared" si="35"/>
        <v/>
      </c>
    </row>
    <row r="295" spans="1:8" ht="16.5">
      <c r="A295" s="177"/>
      <c r="B295" s="199" t="str">
        <f t="shared" si="29"/>
        <v/>
      </c>
      <c r="C295" s="197" t="str">
        <f t="shared" si="30"/>
        <v/>
      </c>
      <c r="D295" s="198" t="str">
        <f t="shared" si="31"/>
        <v/>
      </c>
      <c r="E295" s="198" t="str">
        <f t="shared" si="32"/>
        <v/>
      </c>
      <c r="F295" s="198" t="str">
        <f t="shared" si="33"/>
        <v/>
      </c>
      <c r="G295" s="198" t="str">
        <f t="shared" si="34"/>
        <v/>
      </c>
      <c r="H295" s="200" t="str">
        <f t="shared" si="35"/>
        <v/>
      </c>
    </row>
    <row r="296" spans="1:8" ht="16.5">
      <c r="A296" s="177"/>
      <c r="B296" s="199" t="str">
        <f t="shared" si="29"/>
        <v/>
      </c>
      <c r="C296" s="197" t="str">
        <f t="shared" si="30"/>
        <v/>
      </c>
      <c r="D296" s="198" t="str">
        <f t="shared" si="31"/>
        <v/>
      </c>
      <c r="E296" s="198" t="str">
        <f t="shared" si="32"/>
        <v/>
      </c>
      <c r="F296" s="198" t="str">
        <f t="shared" si="33"/>
        <v/>
      </c>
      <c r="G296" s="198" t="str">
        <f t="shared" si="34"/>
        <v/>
      </c>
      <c r="H296" s="200" t="str">
        <f t="shared" si="35"/>
        <v/>
      </c>
    </row>
    <row r="297" spans="1:8" ht="16.5">
      <c r="A297" s="177"/>
      <c r="B297" s="199" t="str">
        <f t="shared" si="29"/>
        <v/>
      </c>
      <c r="C297" s="197" t="str">
        <f t="shared" si="30"/>
        <v/>
      </c>
      <c r="D297" s="198" t="str">
        <f t="shared" si="31"/>
        <v/>
      </c>
      <c r="E297" s="198" t="str">
        <f t="shared" si="32"/>
        <v/>
      </c>
      <c r="F297" s="198" t="str">
        <f t="shared" si="33"/>
        <v/>
      </c>
      <c r="G297" s="198" t="str">
        <f t="shared" si="34"/>
        <v/>
      </c>
      <c r="H297" s="200" t="str">
        <f t="shared" si="35"/>
        <v/>
      </c>
    </row>
    <row r="298" spans="1:8" ht="16.5">
      <c r="A298" s="177"/>
      <c r="B298" s="199" t="str">
        <f t="shared" si="29"/>
        <v/>
      </c>
      <c r="C298" s="197" t="str">
        <f t="shared" si="30"/>
        <v/>
      </c>
      <c r="D298" s="198" t="str">
        <f t="shared" si="31"/>
        <v/>
      </c>
      <c r="E298" s="198" t="str">
        <f t="shared" si="32"/>
        <v/>
      </c>
      <c r="F298" s="198" t="str">
        <f t="shared" si="33"/>
        <v/>
      </c>
      <c r="G298" s="198" t="str">
        <f t="shared" si="34"/>
        <v/>
      </c>
      <c r="H298" s="200" t="str">
        <f t="shared" si="35"/>
        <v/>
      </c>
    </row>
    <row r="299" spans="1:8" ht="16.5">
      <c r="A299" s="177"/>
      <c r="B299" s="199" t="str">
        <f t="shared" si="29"/>
        <v/>
      </c>
      <c r="C299" s="197" t="str">
        <f t="shared" si="30"/>
        <v/>
      </c>
      <c r="D299" s="198" t="str">
        <f t="shared" si="31"/>
        <v/>
      </c>
      <c r="E299" s="198" t="str">
        <f t="shared" si="32"/>
        <v/>
      </c>
      <c r="F299" s="198" t="str">
        <f t="shared" si="33"/>
        <v/>
      </c>
      <c r="G299" s="198" t="str">
        <f t="shared" si="34"/>
        <v/>
      </c>
      <c r="H299" s="200" t="str">
        <f t="shared" si="35"/>
        <v/>
      </c>
    </row>
    <row r="300" spans="1:8" ht="16.5">
      <c r="A300" s="177"/>
      <c r="B300" s="199" t="str">
        <f t="shared" si="29"/>
        <v/>
      </c>
      <c r="C300" s="197" t="str">
        <f t="shared" si="30"/>
        <v/>
      </c>
      <c r="D300" s="198" t="str">
        <f t="shared" si="31"/>
        <v/>
      </c>
      <c r="E300" s="198" t="str">
        <f t="shared" si="32"/>
        <v/>
      </c>
      <c r="F300" s="198" t="str">
        <f t="shared" si="33"/>
        <v/>
      </c>
      <c r="G300" s="198" t="str">
        <f t="shared" si="34"/>
        <v/>
      </c>
      <c r="H300" s="200" t="str">
        <f t="shared" si="35"/>
        <v/>
      </c>
    </row>
    <row r="301" spans="1:8" ht="16.5">
      <c r="A301" s="177"/>
      <c r="B301" s="201" t="str">
        <f t="shared" si="29"/>
        <v/>
      </c>
      <c r="C301" s="197" t="str">
        <f t="shared" si="30"/>
        <v/>
      </c>
      <c r="D301" s="198" t="str">
        <f t="shared" si="31"/>
        <v/>
      </c>
      <c r="E301" s="198" t="str">
        <f t="shared" si="32"/>
        <v/>
      </c>
      <c r="F301" s="198" t="str">
        <f t="shared" si="33"/>
        <v/>
      </c>
      <c r="G301" s="198" t="str">
        <f t="shared" si="34"/>
        <v/>
      </c>
      <c r="H301" s="200" t="str">
        <f t="shared" si="35"/>
        <v/>
      </c>
    </row>
    <row r="302" spans="1:8" ht="16.5">
      <c r="A302" s="177"/>
      <c r="B302" s="201" t="str">
        <f t="shared" si="29"/>
        <v/>
      </c>
      <c r="C302" s="197" t="str">
        <f t="shared" si="30"/>
        <v/>
      </c>
      <c r="D302" s="198" t="str">
        <f t="shared" si="31"/>
        <v/>
      </c>
      <c r="E302" s="198" t="str">
        <f t="shared" si="32"/>
        <v/>
      </c>
      <c r="F302" s="198" t="str">
        <f t="shared" si="33"/>
        <v/>
      </c>
      <c r="G302" s="198" t="str">
        <f t="shared" si="34"/>
        <v/>
      </c>
      <c r="H302" s="200" t="str">
        <f t="shared" si="35"/>
        <v/>
      </c>
    </row>
    <row r="303" spans="1:8" ht="16.5">
      <c r="A303" s="177"/>
      <c r="B303" s="201" t="str">
        <f t="shared" si="29"/>
        <v/>
      </c>
      <c r="C303" s="197" t="str">
        <f t="shared" si="30"/>
        <v/>
      </c>
      <c r="D303" s="198" t="str">
        <f t="shared" si="31"/>
        <v/>
      </c>
      <c r="E303" s="198" t="str">
        <f t="shared" si="32"/>
        <v/>
      </c>
      <c r="F303" s="198" t="str">
        <f t="shared" si="33"/>
        <v/>
      </c>
      <c r="G303" s="198" t="str">
        <f t="shared" si="34"/>
        <v/>
      </c>
      <c r="H303" s="200" t="str">
        <f t="shared" si="35"/>
        <v/>
      </c>
    </row>
    <row r="304" spans="1:8" ht="16.5">
      <c r="A304" s="177"/>
      <c r="B304" s="201" t="str">
        <f t="shared" si="29"/>
        <v/>
      </c>
      <c r="C304" s="197" t="str">
        <f t="shared" si="30"/>
        <v/>
      </c>
      <c r="D304" s="198" t="str">
        <f t="shared" si="31"/>
        <v/>
      </c>
      <c r="E304" s="198" t="str">
        <f t="shared" si="32"/>
        <v/>
      </c>
      <c r="F304" s="198" t="str">
        <f t="shared" si="33"/>
        <v/>
      </c>
      <c r="G304" s="198" t="str">
        <f t="shared" si="34"/>
        <v/>
      </c>
      <c r="H304" s="200" t="str">
        <f t="shared" si="35"/>
        <v/>
      </c>
    </row>
    <row r="305" spans="1:8" ht="16.5">
      <c r="A305" s="177"/>
      <c r="B305" s="201" t="str">
        <f t="shared" si="29"/>
        <v/>
      </c>
      <c r="C305" s="197" t="str">
        <f t="shared" si="30"/>
        <v/>
      </c>
      <c r="D305" s="198" t="str">
        <f t="shared" si="31"/>
        <v/>
      </c>
      <c r="E305" s="198" t="str">
        <f t="shared" si="32"/>
        <v/>
      </c>
      <c r="F305" s="198" t="str">
        <f t="shared" si="33"/>
        <v/>
      </c>
      <c r="G305" s="198" t="str">
        <f t="shared" si="34"/>
        <v/>
      </c>
      <c r="H305" s="200" t="str">
        <f t="shared" si="35"/>
        <v/>
      </c>
    </row>
    <row r="306" spans="1:8" ht="16.5">
      <c r="A306" s="177"/>
      <c r="B306" s="201" t="str">
        <f t="shared" si="29"/>
        <v/>
      </c>
      <c r="C306" s="197" t="str">
        <f t="shared" si="30"/>
        <v/>
      </c>
      <c r="D306" s="198" t="str">
        <f t="shared" si="31"/>
        <v/>
      </c>
      <c r="E306" s="198" t="str">
        <f t="shared" si="32"/>
        <v/>
      </c>
      <c r="F306" s="198" t="str">
        <f t="shared" si="33"/>
        <v/>
      </c>
      <c r="G306" s="198" t="str">
        <f t="shared" si="34"/>
        <v/>
      </c>
      <c r="H306" s="200" t="str">
        <f t="shared" si="35"/>
        <v/>
      </c>
    </row>
    <row r="307" spans="1:8" ht="16.5">
      <c r="A307" s="177"/>
      <c r="B307" s="201" t="str">
        <f t="shared" si="29"/>
        <v/>
      </c>
      <c r="C307" s="197" t="str">
        <f t="shared" si="30"/>
        <v/>
      </c>
      <c r="D307" s="198" t="str">
        <f t="shared" si="31"/>
        <v/>
      </c>
      <c r="E307" s="198" t="str">
        <f t="shared" si="32"/>
        <v/>
      </c>
      <c r="F307" s="198" t="str">
        <f t="shared" si="33"/>
        <v/>
      </c>
      <c r="G307" s="198" t="str">
        <f t="shared" si="34"/>
        <v/>
      </c>
      <c r="H307" s="200" t="str">
        <f t="shared" si="35"/>
        <v/>
      </c>
    </row>
    <row r="308" spans="1:8" ht="16.5">
      <c r="A308" s="177"/>
      <c r="B308" s="201" t="str">
        <f t="shared" si="29"/>
        <v/>
      </c>
      <c r="C308" s="197" t="str">
        <f t="shared" si="30"/>
        <v/>
      </c>
      <c r="D308" s="198" t="str">
        <f t="shared" si="31"/>
        <v/>
      </c>
      <c r="E308" s="198" t="str">
        <f t="shared" si="32"/>
        <v/>
      </c>
      <c r="F308" s="198" t="str">
        <f t="shared" si="33"/>
        <v/>
      </c>
      <c r="G308" s="198" t="str">
        <f t="shared" si="34"/>
        <v/>
      </c>
      <c r="H308" s="200" t="str">
        <f t="shared" si="35"/>
        <v/>
      </c>
    </row>
    <row r="309" spans="1:8" ht="16.5">
      <c r="A309" s="177"/>
      <c r="B309" s="201" t="str">
        <f t="shared" si="29"/>
        <v/>
      </c>
      <c r="C309" s="197" t="str">
        <f t="shared" si="30"/>
        <v/>
      </c>
      <c r="D309" s="198" t="str">
        <f t="shared" si="31"/>
        <v/>
      </c>
      <c r="E309" s="198" t="str">
        <f t="shared" si="32"/>
        <v/>
      </c>
      <c r="F309" s="198" t="str">
        <f t="shared" si="33"/>
        <v/>
      </c>
      <c r="G309" s="198" t="str">
        <f t="shared" si="34"/>
        <v/>
      </c>
      <c r="H309" s="200" t="str">
        <f t="shared" si="35"/>
        <v/>
      </c>
    </row>
    <row r="310" spans="1:8" ht="16.5">
      <c r="A310" s="177"/>
      <c r="B310" s="201" t="str">
        <f t="shared" si="29"/>
        <v/>
      </c>
      <c r="C310" s="197" t="str">
        <f t="shared" si="30"/>
        <v/>
      </c>
      <c r="D310" s="198" t="str">
        <f t="shared" si="31"/>
        <v/>
      </c>
      <c r="E310" s="198" t="str">
        <f t="shared" si="32"/>
        <v/>
      </c>
      <c r="F310" s="198" t="str">
        <f t="shared" si="33"/>
        <v/>
      </c>
      <c r="G310" s="198" t="str">
        <f t="shared" si="34"/>
        <v/>
      </c>
      <c r="H310" s="200" t="str">
        <f t="shared" si="35"/>
        <v/>
      </c>
    </row>
    <row r="311" spans="1:8" ht="16.5">
      <c r="A311" s="177"/>
      <c r="B311" s="201" t="str">
        <f t="shared" si="29"/>
        <v/>
      </c>
      <c r="C311" s="197" t="str">
        <f t="shared" si="30"/>
        <v/>
      </c>
      <c r="D311" s="198" t="str">
        <f t="shared" si="31"/>
        <v/>
      </c>
      <c r="E311" s="198" t="str">
        <f t="shared" si="32"/>
        <v/>
      </c>
      <c r="F311" s="198" t="str">
        <f t="shared" si="33"/>
        <v/>
      </c>
      <c r="G311" s="198" t="str">
        <f t="shared" si="34"/>
        <v/>
      </c>
      <c r="H311" s="200" t="str">
        <f t="shared" si="35"/>
        <v/>
      </c>
    </row>
    <row r="312" spans="1:8" ht="16.5">
      <c r="A312" s="177"/>
      <c r="B312" s="201" t="str">
        <f t="shared" si="29"/>
        <v/>
      </c>
      <c r="C312" s="197" t="str">
        <f t="shared" si="30"/>
        <v/>
      </c>
      <c r="D312" s="198" t="str">
        <f t="shared" si="31"/>
        <v/>
      </c>
      <c r="E312" s="198" t="str">
        <f t="shared" si="32"/>
        <v/>
      </c>
      <c r="F312" s="198" t="str">
        <f t="shared" si="33"/>
        <v/>
      </c>
      <c r="G312" s="198" t="str">
        <f t="shared" si="34"/>
        <v/>
      </c>
      <c r="H312" s="200" t="str">
        <f t="shared" si="35"/>
        <v/>
      </c>
    </row>
    <row r="313" spans="1:8" ht="16.5">
      <c r="A313" s="177"/>
      <c r="B313" s="201" t="str">
        <f t="shared" si="29"/>
        <v/>
      </c>
      <c r="C313" s="197" t="str">
        <f t="shared" si="30"/>
        <v/>
      </c>
      <c r="D313" s="198" t="str">
        <f t="shared" si="31"/>
        <v/>
      </c>
      <c r="E313" s="198" t="str">
        <f t="shared" si="32"/>
        <v/>
      </c>
      <c r="F313" s="198" t="str">
        <f t="shared" si="33"/>
        <v/>
      </c>
      <c r="G313" s="198" t="str">
        <f t="shared" si="34"/>
        <v/>
      </c>
      <c r="H313" s="200" t="str">
        <f t="shared" si="35"/>
        <v/>
      </c>
    </row>
    <row r="314" spans="1:8" ht="16.5">
      <c r="A314" s="177"/>
      <c r="B314" s="201" t="str">
        <f t="shared" si="29"/>
        <v/>
      </c>
      <c r="C314" s="197" t="str">
        <f t="shared" si="30"/>
        <v/>
      </c>
      <c r="D314" s="198" t="str">
        <f t="shared" si="31"/>
        <v/>
      </c>
      <c r="E314" s="198" t="str">
        <f t="shared" si="32"/>
        <v/>
      </c>
      <c r="F314" s="198" t="str">
        <f t="shared" si="33"/>
        <v/>
      </c>
      <c r="G314" s="198" t="str">
        <f t="shared" si="34"/>
        <v/>
      </c>
      <c r="H314" s="200" t="str">
        <f t="shared" si="35"/>
        <v/>
      </c>
    </row>
    <row r="315" spans="1:8" ht="16.5">
      <c r="A315" s="177"/>
      <c r="B315" s="201" t="str">
        <f t="shared" si="29"/>
        <v/>
      </c>
      <c r="C315" s="197" t="str">
        <f t="shared" si="30"/>
        <v/>
      </c>
      <c r="D315" s="198" t="str">
        <f t="shared" si="31"/>
        <v/>
      </c>
      <c r="E315" s="198" t="str">
        <f t="shared" si="32"/>
        <v/>
      </c>
      <c r="F315" s="198" t="str">
        <f t="shared" si="33"/>
        <v/>
      </c>
      <c r="G315" s="198" t="str">
        <f t="shared" si="34"/>
        <v/>
      </c>
      <c r="H315" s="200" t="str">
        <f t="shared" si="35"/>
        <v/>
      </c>
    </row>
    <row r="316" spans="1:8" ht="16.5">
      <c r="A316" s="177"/>
      <c r="B316" s="201" t="str">
        <f t="shared" si="29"/>
        <v/>
      </c>
      <c r="C316" s="197" t="str">
        <f t="shared" si="30"/>
        <v/>
      </c>
      <c r="D316" s="198" t="str">
        <f t="shared" si="31"/>
        <v/>
      </c>
      <c r="E316" s="198" t="str">
        <f t="shared" si="32"/>
        <v/>
      </c>
      <c r="F316" s="198" t="str">
        <f t="shared" si="33"/>
        <v/>
      </c>
      <c r="G316" s="198" t="str">
        <f t="shared" si="34"/>
        <v/>
      </c>
      <c r="H316" s="200" t="str">
        <f t="shared" si="35"/>
        <v/>
      </c>
    </row>
    <row r="317" spans="1:8" ht="16.5">
      <c r="A317" s="177"/>
      <c r="B317" s="201" t="str">
        <f t="shared" si="29"/>
        <v/>
      </c>
      <c r="C317" s="197" t="str">
        <f t="shared" si="30"/>
        <v/>
      </c>
      <c r="D317" s="198" t="str">
        <f t="shared" si="31"/>
        <v/>
      </c>
      <c r="E317" s="198" t="str">
        <f t="shared" si="32"/>
        <v/>
      </c>
      <c r="F317" s="198" t="str">
        <f t="shared" si="33"/>
        <v/>
      </c>
      <c r="G317" s="198" t="str">
        <f t="shared" si="34"/>
        <v/>
      </c>
      <c r="H317" s="200" t="str">
        <f t="shared" si="35"/>
        <v/>
      </c>
    </row>
    <row r="318" spans="1:8" ht="16.5">
      <c r="A318" s="177"/>
      <c r="B318" s="201" t="str">
        <f t="shared" si="29"/>
        <v/>
      </c>
      <c r="C318" s="197" t="str">
        <f t="shared" si="30"/>
        <v/>
      </c>
      <c r="D318" s="198" t="str">
        <f t="shared" si="31"/>
        <v/>
      </c>
      <c r="E318" s="198" t="str">
        <f t="shared" si="32"/>
        <v/>
      </c>
      <c r="F318" s="198" t="str">
        <f t="shared" si="33"/>
        <v/>
      </c>
      <c r="G318" s="198" t="str">
        <f t="shared" si="34"/>
        <v/>
      </c>
      <c r="H318" s="200" t="str">
        <f t="shared" si="35"/>
        <v/>
      </c>
    </row>
    <row r="319" spans="1:8" ht="16.5">
      <c r="A319" s="177"/>
      <c r="B319" s="201" t="str">
        <f t="shared" si="29"/>
        <v/>
      </c>
      <c r="C319" s="197" t="str">
        <f t="shared" si="30"/>
        <v/>
      </c>
      <c r="D319" s="198" t="str">
        <f t="shared" si="31"/>
        <v/>
      </c>
      <c r="E319" s="198" t="str">
        <f t="shared" si="32"/>
        <v/>
      </c>
      <c r="F319" s="198" t="str">
        <f t="shared" si="33"/>
        <v/>
      </c>
      <c r="G319" s="198" t="str">
        <f t="shared" si="34"/>
        <v/>
      </c>
      <c r="H319" s="200" t="str">
        <f t="shared" si="35"/>
        <v/>
      </c>
    </row>
    <row r="320" spans="1:8" ht="16.5">
      <c r="A320" s="177"/>
      <c r="B320" s="201" t="str">
        <f t="shared" si="29"/>
        <v/>
      </c>
      <c r="C320" s="197" t="str">
        <f t="shared" si="30"/>
        <v/>
      </c>
      <c r="D320" s="198" t="str">
        <f t="shared" si="31"/>
        <v/>
      </c>
      <c r="E320" s="198" t="str">
        <f t="shared" si="32"/>
        <v/>
      </c>
      <c r="F320" s="198" t="str">
        <f t="shared" si="33"/>
        <v/>
      </c>
      <c r="G320" s="198" t="str">
        <f t="shared" si="34"/>
        <v/>
      </c>
      <c r="H320" s="200" t="str">
        <f t="shared" si="35"/>
        <v/>
      </c>
    </row>
    <row r="321" spans="1:8" ht="16.5">
      <c r="A321" s="177"/>
      <c r="B321" s="201" t="str">
        <f t="shared" si="29"/>
        <v/>
      </c>
      <c r="C321" s="197" t="str">
        <f t="shared" si="30"/>
        <v/>
      </c>
      <c r="D321" s="198" t="str">
        <f t="shared" si="31"/>
        <v/>
      </c>
      <c r="E321" s="198" t="str">
        <f t="shared" si="32"/>
        <v/>
      </c>
      <c r="F321" s="198" t="str">
        <f t="shared" si="33"/>
        <v/>
      </c>
      <c r="G321" s="198" t="str">
        <f t="shared" si="34"/>
        <v/>
      </c>
      <c r="H321" s="200" t="str">
        <f t="shared" si="35"/>
        <v/>
      </c>
    </row>
    <row r="322" spans="1:8" ht="16.5">
      <c r="A322" s="177"/>
      <c r="B322" s="201" t="str">
        <f t="shared" si="29"/>
        <v/>
      </c>
      <c r="C322" s="197" t="str">
        <f t="shared" si="30"/>
        <v/>
      </c>
      <c r="D322" s="198" t="str">
        <f t="shared" si="31"/>
        <v/>
      </c>
      <c r="E322" s="198" t="str">
        <f t="shared" si="32"/>
        <v/>
      </c>
      <c r="F322" s="198" t="str">
        <f t="shared" si="33"/>
        <v/>
      </c>
      <c r="G322" s="198" t="str">
        <f t="shared" si="34"/>
        <v/>
      </c>
      <c r="H322" s="200" t="str">
        <f t="shared" si="35"/>
        <v/>
      </c>
    </row>
    <row r="323" spans="1:8" ht="16.5">
      <c r="A323" s="177"/>
      <c r="B323" s="201" t="str">
        <f t="shared" si="29"/>
        <v/>
      </c>
      <c r="C323" s="197" t="str">
        <f t="shared" si="30"/>
        <v/>
      </c>
      <c r="D323" s="198" t="str">
        <f t="shared" si="31"/>
        <v/>
      </c>
      <c r="E323" s="198" t="str">
        <f t="shared" si="32"/>
        <v/>
      </c>
      <c r="F323" s="198" t="str">
        <f t="shared" si="33"/>
        <v/>
      </c>
      <c r="G323" s="198" t="str">
        <f t="shared" si="34"/>
        <v/>
      </c>
      <c r="H323" s="200" t="str">
        <f t="shared" si="35"/>
        <v/>
      </c>
    </row>
    <row r="324" spans="1:8" ht="16.5">
      <c r="A324" s="177"/>
      <c r="B324" s="201" t="str">
        <f t="shared" si="29"/>
        <v/>
      </c>
      <c r="C324" s="197" t="str">
        <f t="shared" si="30"/>
        <v/>
      </c>
      <c r="D324" s="198" t="str">
        <f t="shared" si="31"/>
        <v/>
      </c>
      <c r="E324" s="198" t="str">
        <f t="shared" si="32"/>
        <v/>
      </c>
      <c r="F324" s="198" t="str">
        <f t="shared" si="33"/>
        <v/>
      </c>
      <c r="G324" s="198" t="str">
        <f t="shared" si="34"/>
        <v/>
      </c>
      <c r="H324" s="200" t="str">
        <f t="shared" si="35"/>
        <v/>
      </c>
    </row>
    <row r="325" spans="1:8" ht="16.5">
      <c r="A325" s="177"/>
      <c r="B325" s="201" t="str">
        <f t="shared" si="29"/>
        <v/>
      </c>
      <c r="C325" s="197" t="str">
        <f t="shared" si="30"/>
        <v/>
      </c>
      <c r="D325" s="198" t="str">
        <f t="shared" si="31"/>
        <v/>
      </c>
      <c r="E325" s="198" t="str">
        <f t="shared" si="32"/>
        <v/>
      </c>
      <c r="F325" s="198" t="str">
        <f t="shared" si="33"/>
        <v/>
      </c>
      <c r="G325" s="198" t="str">
        <f t="shared" si="34"/>
        <v/>
      </c>
      <c r="H325" s="200" t="str">
        <f t="shared" si="35"/>
        <v/>
      </c>
    </row>
    <row r="326" spans="1:8" ht="16.5">
      <c r="A326" s="177"/>
      <c r="B326" s="201" t="str">
        <f t="shared" si="29"/>
        <v/>
      </c>
      <c r="C326" s="197" t="str">
        <f t="shared" si="30"/>
        <v/>
      </c>
      <c r="D326" s="198" t="str">
        <f t="shared" si="31"/>
        <v/>
      </c>
      <c r="E326" s="198" t="str">
        <f t="shared" si="32"/>
        <v/>
      </c>
      <c r="F326" s="198" t="str">
        <f t="shared" si="33"/>
        <v/>
      </c>
      <c r="G326" s="198" t="str">
        <f t="shared" si="34"/>
        <v/>
      </c>
      <c r="H326" s="200" t="str">
        <f t="shared" si="35"/>
        <v/>
      </c>
    </row>
    <row r="327" spans="1:8" ht="16.5">
      <c r="A327" s="177"/>
      <c r="B327" s="201" t="str">
        <f t="shared" si="29"/>
        <v/>
      </c>
      <c r="C327" s="197" t="str">
        <f t="shared" si="30"/>
        <v/>
      </c>
      <c r="D327" s="198" t="str">
        <f t="shared" si="31"/>
        <v/>
      </c>
      <c r="E327" s="198" t="str">
        <f t="shared" si="32"/>
        <v/>
      </c>
      <c r="F327" s="198" t="str">
        <f t="shared" si="33"/>
        <v/>
      </c>
      <c r="G327" s="198" t="str">
        <f t="shared" si="34"/>
        <v/>
      </c>
      <c r="H327" s="200" t="str">
        <f t="shared" si="35"/>
        <v/>
      </c>
    </row>
    <row r="328" spans="1:8" ht="16.5">
      <c r="A328" s="177"/>
      <c r="B328" s="201" t="str">
        <f t="shared" si="29"/>
        <v/>
      </c>
      <c r="C328" s="197" t="str">
        <f t="shared" si="30"/>
        <v/>
      </c>
      <c r="D328" s="198" t="str">
        <f t="shared" si="31"/>
        <v/>
      </c>
      <c r="E328" s="198" t="str">
        <f t="shared" si="32"/>
        <v/>
      </c>
      <c r="F328" s="198" t="str">
        <f t="shared" si="33"/>
        <v/>
      </c>
      <c r="G328" s="198" t="str">
        <f t="shared" si="34"/>
        <v/>
      </c>
      <c r="H328" s="200" t="str">
        <f t="shared" si="35"/>
        <v/>
      </c>
    </row>
    <row r="329" spans="1:8" ht="16.5">
      <c r="A329" s="177"/>
      <c r="B329" s="201" t="str">
        <f t="shared" si="29"/>
        <v/>
      </c>
      <c r="C329" s="197" t="str">
        <f t="shared" si="30"/>
        <v/>
      </c>
      <c r="D329" s="198" t="str">
        <f t="shared" si="31"/>
        <v/>
      </c>
      <c r="E329" s="198" t="str">
        <f t="shared" si="32"/>
        <v/>
      </c>
      <c r="F329" s="198" t="str">
        <f t="shared" si="33"/>
        <v/>
      </c>
      <c r="G329" s="198" t="str">
        <f t="shared" si="34"/>
        <v/>
      </c>
      <c r="H329" s="200" t="str">
        <f t="shared" si="35"/>
        <v/>
      </c>
    </row>
    <row r="330" spans="1:8" ht="16.5">
      <c r="A330" s="177"/>
      <c r="B330" s="201" t="str">
        <f t="shared" si="29"/>
        <v/>
      </c>
      <c r="C330" s="197" t="str">
        <f t="shared" si="30"/>
        <v/>
      </c>
      <c r="D330" s="198" t="str">
        <f t="shared" si="31"/>
        <v/>
      </c>
      <c r="E330" s="198" t="str">
        <f t="shared" si="32"/>
        <v/>
      </c>
      <c r="F330" s="198" t="str">
        <f t="shared" si="33"/>
        <v/>
      </c>
      <c r="G330" s="198" t="str">
        <f t="shared" si="34"/>
        <v/>
      </c>
      <c r="H330" s="200" t="str">
        <f t="shared" si="35"/>
        <v/>
      </c>
    </row>
    <row r="331" spans="1:8" ht="16.5">
      <c r="A331" s="177"/>
      <c r="B331" s="201" t="str">
        <f t="shared" si="29"/>
        <v/>
      </c>
      <c r="C331" s="197" t="str">
        <f t="shared" si="30"/>
        <v/>
      </c>
      <c r="D331" s="198" t="str">
        <f t="shared" si="31"/>
        <v/>
      </c>
      <c r="E331" s="198" t="str">
        <f t="shared" si="32"/>
        <v/>
      </c>
      <c r="F331" s="198" t="str">
        <f t="shared" si="33"/>
        <v/>
      </c>
      <c r="G331" s="198" t="str">
        <f t="shared" si="34"/>
        <v/>
      </c>
      <c r="H331" s="200" t="str">
        <f t="shared" si="35"/>
        <v/>
      </c>
    </row>
    <row r="332" spans="1:8" ht="16.5">
      <c r="A332" s="177"/>
      <c r="B332" s="201" t="str">
        <f t="shared" si="29"/>
        <v/>
      </c>
      <c r="C332" s="197" t="str">
        <f t="shared" si="30"/>
        <v/>
      </c>
      <c r="D332" s="198" t="str">
        <f t="shared" si="31"/>
        <v/>
      </c>
      <c r="E332" s="198" t="str">
        <f t="shared" si="32"/>
        <v/>
      </c>
      <c r="F332" s="198" t="str">
        <f t="shared" si="33"/>
        <v/>
      </c>
      <c r="G332" s="198" t="str">
        <f t="shared" si="34"/>
        <v/>
      </c>
      <c r="H332" s="200" t="str">
        <f t="shared" si="35"/>
        <v/>
      </c>
    </row>
    <row r="333" spans="1:8" ht="16.5">
      <c r="A333" s="177"/>
      <c r="B333" s="201" t="str">
        <f t="shared" si="29"/>
        <v/>
      </c>
      <c r="C333" s="197" t="str">
        <f t="shared" si="30"/>
        <v/>
      </c>
      <c r="D333" s="198" t="str">
        <f t="shared" si="31"/>
        <v/>
      </c>
      <c r="E333" s="198" t="str">
        <f t="shared" si="32"/>
        <v/>
      </c>
      <c r="F333" s="198" t="str">
        <f t="shared" si="33"/>
        <v/>
      </c>
      <c r="G333" s="198" t="str">
        <f t="shared" si="34"/>
        <v/>
      </c>
      <c r="H333" s="200" t="str">
        <f t="shared" si="35"/>
        <v/>
      </c>
    </row>
    <row r="334" spans="1:8" ht="16.5">
      <c r="A334" s="177"/>
      <c r="B334" s="201" t="str">
        <f t="shared" si="29"/>
        <v/>
      </c>
      <c r="C334" s="197" t="str">
        <f t="shared" si="30"/>
        <v/>
      </c>
      <c r="D334" s="198" t="str">
        <f t="shared" si="31"/>
        <v/>
      </c>
      <c r="E334" s="198" t="str">
        <f t="shared" si="32"/>
        <v/>
      </c>
      <c r="F334" s="198" t="str">
        <f t="shared" si="33"/>
        <v/>
      </c>
      <c r="G334" s="198" t="str">
        <f t="shared" si="34"/>
        <v/>
      </c>
      <c r="H334" s="200" t="str">
        <f t="shared" si="35"/>
        <v/>
      </c>
    </row>
    <row r="335" spans="1:8" ht="16.5">
      <c r="A335" s="177"/>
      <c r="B335" s="201" t="str">
        <f t="shared" si="29"/>
        <v/>
      </c>
      <c r="C335" s="197" t="str">
        <f t="shared" si="30"/>
        <v/>
      </c>
      <c r="D335" s="198" t="str">
        <f t="shared" si="31"/>
        <v/>
      </c>
      <c r="E335" s="198" t="str">
        <f t="shared" si="32"/>
        <v/>
      </c>
      <c r="F335" s="198" t="str">
        <f t="shared" si="33"/>
        <v/>
      </c>
      <c r="G335" s="198" t="str">
        <f t="shared" si="34"/>
        <v/>
      </c>
      <c r="H335" s="200" t="str">
        <f t="shared" si="35"/>
        <v/>
      </c>
    </row>
    <row r="336" spans="1:8" ht="16.5">
      <c r="A336" s="177"/>
      <c r="B336" s="201" t="str">
        <f t="shared" ref="B336:B375" si="36">IF(Loan_Not_Paid*Values_Entered,Payment_Number,"")</f>
        <v/>
      </c>
      <c r="C336" s="197" t="str">
        <f t="shared" ref="C336:C375" si="37">IF(Loan_Not_Paid*Values_Entered,Payment_Date,"")</f>
        <v/>
      </c>
      <c r="D336" s="198" t="str">
        <f t="shared" ref="D336:D375" si="38">IF(Loan_Not_Paid*Values_Entered,Beginning_Balance,"")</f>
        <v/>
      </c>
      <c r="E336" s="198" t="str">
        <f t="shared" ref="E336:E375" si="39">IF(Loan_Not_Paid*Values_Entered,Monthly_Payment,"")</f>
        <v/>
      </c>
      <c r="F336" s="198" t="str">
        <f t="shared" ref="F336:F375" si="40">IF(Loan_Not_Paid*Values_Entered,Principal,"")</f>
        <v/>
      </c>
      <c r="G336" s="198" t="str">
        <f t="shared" ref="G336:G375" si="41">IF(Loan_Not_Paid*Values_Entered,Interest,"")</f>
        <v/>
      </c>
      <c r="H336" s="200" t="str">
        <f t="shared" ref="H336:H375" si="42">IF(Loan_Not_Paid*Values_Entered,Ending_Balance,"")</f>
        <v/>
      </c>
    </row>
    <row r="337" spans="1:8" ht="16.5">
      <c r="A337" s="177"/>
      <c r="B337" s="201" t="str">
        <f t="shared" si="36"/>
        <v/>
      </c>
      <c r="C337" s="197" t="str">
        <f t="shared" si="37"/>
        <v/>
      </c>
      <c r="D337" s="198" t="str">
        <f t="shared" si="38"/>
        <v/>
      </c>
      <c r="E337" s="198" t="str">
        <f t="shared" si="39"/>
        <v/>
      </c>
      <c r="F337" s="198" t="str">
        <f t="shared" si="40"/>
        <v/>
      </c>
      <c r="G337" s="198" t="str">
        <f t="shared" si="41"/>
        <v/>
      </c>
      <c r="H337" s="200" t="str">
        <f t="shared" si="42"/>
        <v/>
      </c>
    </row>
    <row r="338" spans="1:8" ht="16.5">
      <c r="A338" s="177"/>
      <c r="B338" s="201" t="str">
        <f t="shared" si="36"/>
        <v/>
      </c>
      <c r="C338" s="197" t="str">
        <f t="shared" si="37"/>
        <v/>
      </c>
      <c r="D338" s="198" t="str">
        <f t="shared" si="38"/>
        <v/>
      </c>
      <c r="E338" s="198" t="str">
        <f t="shared" si="39"/>
        <v/>
      </c>
      <c r="F338" s="198" t="str">
        <f t="shared" si="40"/>
        <v/>
      </c>
      <c r="G338" s="198" t="str">
        <f t="shared" si="41"/>
        <v/>
      </c>
      <c r="H338" s="200" t="str">
        <f t="shared" si="42"/>
        <v/>
      </c>
    </row>
    <row r="339" spans="1:8" ht="16.5">
      <c r="A339" s="177"/>
      <c r="B339" s="201" t="str">
        <f t="shared" si="36"/>
        <v/>
      </c>
      <c r="C339" s="197" t="str">
        <f t="shared" si="37"/>
        <v/>
      </c>
      <c r="D339" s="198" t="str">
        <f t="shared" si="38"/>
        <v/>
      </c>
      <c r="E339" s="198" t="str">
        <f t="shared" si="39"/>
        <v/>
      </c>
      <c r="F339" s="198" t="str">
        <f t="shared" si="40"/>
        <v/>
      </c>
      <c r="G339" s="198" t="str">
        <f t="shared" si="41"/>
        <v/>
      </c>
      <c r="H339" s="200" t="str">
        <f t="shared" si="42"/>
        <v/>
      </c>
    </row>
    <row r="340" spans="1:8" ht="16.5">
      <c r="A340" s="177"/>
      <c r="B340" s="201" t="str">
        <f t="shared" si="36"/>
        <v/>
      </c>
      <c r="C340" s="197" t="str">
        <f t="shared" si="37"/>
        <v/>
      </c>
      <c r="D340" s="198" t="str">
        <f t="shared" si="38"/>
        <v/>
      </c>
      <c r="E340" s="198" t="str">
        <f t="shared" si="39"/>
        <v/>
      </c>
      <c r="F340" s="198" t="str">
        <f t="shared" si="40"/>
        <v/>
      </c>
      <c r="G340" s="198" t="str">
        <f t="shared" si="41"/>
        <v/>
      </c>
      <c r="H340" s="200" t="str">
        <f t="shared" si="42"/>
        <v/>
      </c>
    </row>
    <row r="341" spans="1:8" ht="16.5">
      <c r="A341" s="177"/>
      <c r="B341" s="201" t="str">
        <f t="shared" si="36"/>
        <v/>
      </c>
      <c r="C341" s="197" t="str">
        <f t="shared" si="37"/>
        <v/>
      </c>
      <c r="D341" s="198" t="str">
        <f t="shared" si="38"/>
        <v/>
      </c>
      <c r="E341" s="198" t="str">
        <f t="shared" si="39"/>
        <v/>
      </c>
      <c r="F341" s="198" t="str">
        <f t="shared" si="40"/>
        <v/>
      </c>
      <c r="G341" s="198" t="str">
        <f t="shared" si="41"/>
        <v/>
      </c>
      <c r="H341" s="200" t="str">
        <f t="shared" si="42"/>
        <v/>
      </c>
    </row>
    <row r="342" spans="1:8" ht="16.5">
      <c r="A342" s="177"/>
      <c r="B342" s="201" t="str">
        <f t="shared" si="36"/>
        <v/>
      </c>
      <c r="C342" s="197" t="str">
        <f t="shared" si="37"/>
        <v/>
      </c>
      <c r="D342" s="198" t="str">
        <f t="shared" si="38"/>
        <v/>
      </c>
      <c r="E342" s="198" t="str">
        <f t="shared" si="39"/>
        <v/>
      </c>
      <c r="F342" s="198" t="str">
        <f t="shared" si="40"/>
        <v/>
      </c>
      <c r="G342" s="198" t="str">
        <f t="shared" si="41"/>
        <v/>
      </c>
      <c r="H342" s="200" t="str">
        <f t="shared" si="42"/>
        <v/>
      </c>
    </row>
    <row r="343" spans="1:8" ht="16.5">
      <c r="A343" s="177"/>
      <c r="B343" s="201" t="str">
        <f t="shared" si="36"/>
        <v/>
      </c>
      <c r="C343" s="197" t="str">
        <f t="shared" si="37"/>
        <v/>
      </c>
      <c r="D343" s="198" t="str">
        <f t="shared" si="38"/>
        <v/>
      </c>
      <c r="E343" s="198" t="str">
        <f t="shared" si="39"/>
        <v/>
      </c>
      <c r="F343" s="198" t="str">
        <f t="shared" si="40"/>
        <v/>
      </c>
      <c r="G343" s="198" t="str">
        <f t="shared" si="41"/>
        <v/>
      </c>
      <c r="H343" s="200" t="str">
        <f t="shared" si="42"/>
        <v/>
      </c>
    </row>
    <row r="344" spans="1:8" ht="16.5">
      <c r="A344" s="177"/>
      <c r="B344" s="201" t="str">
        <f t="shared" si="36"/>
        <v/>
      </c>
      <c r="C344" s="197" t="str">
        <f t="shared" si="37"/>
        <v/>
      </c>
      <c r="D344" s="198" t="str">
        <f t="shared" si="38"/>
        <v/>
      </c>
      <c r="E344" s="198" t="str">
        <f t="shared" si="39"/>
        <v/>
      </c>
      <c r="F344" s="198" t="str">
        <f t="shared" si="40"/>
        <v/>
      </c>
      <c r="G344" s="198" t="str">
        <f t="shared" si="41"/>
        <v/>
      </c>
      <c r="H344" s="200" t="str">
        <f t="shared" si="42"/>
        <v/>
      </c>
    </row>
    <row r="345" spans="1:8" ht="16.5">
      <c r="A345" s="177"/>
      <c r="B345" s="201" t="str">
        <f t="shared" si="36"/>
        <v/>
      </c>
      <c r="C345" s="197" t="str">
        <f t="shared" si="37"/>
        <v/>
      </c>
      <c r="D345" s="198" t="str">
        <f t="shared" si="38"/>
        <v/>
      </c>
      <c r="E345" s="198" t="str">
        <f t="shared" si="39"/>
        <v/>
      </c>
      <c r="F345" s="198" t="str">
        <f t="shared" si="40"/>
        <v/>
      </c>
      <c r="G345" s="198" t="str">
        <f t="shared" si="41"/>
        <v/>
      </c>
      <c r="H345" s="200" t="str">
        <f t="shared" si="42"/>
        <v/>
      </c>
    </row>
    <row r="346" spans="1:8" ht="16.5">
      <c r="A346" s="177"/>
      <c r="B346" s="201" t="str">
        <f t="shared" si="36"/>
        <v/>
      </c>
      <c r="C346" s="197" t="str">
        <f t="shared" si="37"/>
        <v/>
      </c>
      <c r="D346" s="198" t="str">
        <f t="shared" si="38"/>
        <v/>
      </c>
      <c r="E346" s="198" t="str">
        <f t="shared" si="39"/>
        <v/>
      </c>
      <c r="F346" s="198" t="str">
        <f t="shared" si="40"/>
        <v/>
      </c>
      <c r="G346" s="198" t="str">
        <f t="shared" si="41"/>
        <v/>
      </c>
      <c r="H346" s="200" t="str">
        <f t="shared" si="42"/>
        <v/>
      </c>
    </row>
    <row r="347" spans="1:8" ht="16.5">
      <c r="A347" s="177"/>
      <c r="B347" s="201" t="str">
        <f t="shared" si="36"/>
        <v/>
      </c>
      <c r="C347" s="197" t="str">
        <f t="shared" si="37"/>
        <v/>
      </c>
      <c r="D347" s="198" t="str">
        <f t="shared" si="38"/>
        <v/>
      </c>
      <c r="E347" s="198" t="str">
        <f t="shared" si="39"/>
        <v/>
      </c>
      <c r="F347" s="198" t="str">
        <f t="shared" si="40"/>
        <v/>
      </c>
      <c r="G347" s="198" t="str">
        <f t="shared" si="41"/>
        <v/>
      </c>
      <c r="H347" s="200" t="str">
        <f t="shared" si="42"/>
        <v/>
      </c>
    </row>
    <row r="348" spans="1:8" ht="16.5">
      <c r="A348" s="177"/>
      <c r="B348" s="201" t="str">
        <f t="shared" si="36"/>
        <v/>
      </c>
      <c r="C348" s="197" t="str">
        <f t="shared" si="37"/>
        <v/>
      </c>
      <c r="D348" s="198" t="str">
        <f t="shared" si="38"/>
        <v/>
      </c>
      <c r="E348" s="198" t="str">
        <f t="shared" si="39"/>
        <v/>
      </c>
      <c r="F348" s="198" t="str">
        <f t="shared" si="40"/>
        <v/>
      </c>
      <c r="G348" s="198" t="str">
        <f t="shared" si="41"/>
        <v/>
      </c>
      <c r="H348" s="200" t="str">
        <f t="shared" si="42"/>
        <v/>
      </c>
    </row>
    <row r="349" spans="1:8" ht="16.5">
      <c r="A349" s="177"/>
      <c r="B349" s="201" t="str">
        <f t="shared" si="36"/>
        <v/>
      </c>
      <c r="C349" s="197" t="str">
        <f t="shared" si="37"/>
        <v/>
      </c>
      <c r="D349" s="198" t="str">
        <f t="shared" si="38"/>
        <v/>
      </c>
      <c r="E349" s="198" t="str">
        <f t="shared" si="39"/>
        <v/>
      </c>
      <c r="F349" s="198" t="str">
        <f t="shared" si="40"/>
        <v/>
      </c>
      <c r="G349" s="198" t="str">
        <f t="shared" si="41"/>
        <v/>
      </c>
      <c r="H349" s="200" t="str">
        <f t="shared" si="42"/>
        <v/>
      </c>
    </row>
    <row r="350" spans="1:8" ht="16.5">
      <c r="A350" s="177"/>
      <c r="B350" s="201" t="str">
        <f t="shared" si="36"/>
        <v/>
      </c>
      <c r="C350" s="197" t="str">
        <f t="shared" si="37"/>
        <v/>
      </c>
      <c r="D350" s="198" t="str">
        <f t="shared" si="38"/>
        <v/>
      </c>
      <c r="E350" s="198" t="str">
        <f t="shared" si="39"/>
        <v/>
      </c>
      <c r="F350" s="198" t="str">
        <f t="shared" si="40"/>
        <v/>
      </c>
      <c r="G350" s="198" t="str">
        <f t="shared" si="41"/>
        <v/>
      </c>
      <c r="H350" s="200" t="str">
        <f t="shared" si="42"/>
        <v/>
      </c>
    </row>
    <row r="351" spans="1:8" ht="16.5">
      <c r="A351" s="177"/>
      <c r="B351" s="201" t="str">
        <f t="shared" si="36"/>
        <v/>
      </c>
      <c r="C351" s="197" t="str">
        <f t="shared" si="37"/>
        <v/>
      </c>
      <c r="D351" s="198" t="str">
        <f t="shared" si="38"/>
        <v/>
      </c>
      <c r="E351" s="198" t="str">
        <f t="shared" si="39"/>
        <v/>
      </c>
      <c r="F351" s="198" t="str">
        <f t="shared" si="40"/>
        <v/>
      </c>
      <c r="G351" s="198" t="str">
        <f t="shared" si="41"/>
        <v/>
      </c>
      <c r="H351" s="200" t="str">
        <f t="shared" si="42"/>
        <v/>
      </c>
    </row>
    <row r="352" spans="1:8" ht="16.5">
      <c r="A352" s="177"/>
      <c r="B352" s="201" t="str">
        <f t="shared" si="36"/>
        <v/>
      </c>
      <c r="C352" s="197" t="str">
        <f t="shared" si="37"/>
        <v/>
      </c>
      <c r="D352" s="198" t="str">
        <f t="shared" si="38"/>
        <v/>
      </c>
      <c r="E352" s="198" t="str">
        <f t="shared" si="39"/>
        <v/>
      </c>
      <c r="F352" s="198" t="str">
        <f t="shared" si="40"/>
        <v/>
      </c>
      <c r="G352" s="198" t="str">
        <f t="shared" si="41"/>
        <v/>
      </c>
      <c r="H352" s="200" t="str">
        <f t="shared" si="42"/>
        <v/>
      </c>
    </row>
    <row r="353" spans="1:8" ht="16.5">
      <c r="A353" s="177"/>
      <c r="B353" s="201" t="str">
        <f t="shared" si="36"/>
        <v/>
      </c>
      <c r="C353" s="197" t="str">
        <f t="shared" si="37"/>
        <v/>
      </c>
      <c r="D353" s="198" t="str">
        <f t="shared" si="38"/>
        <v/>
      </c>
      <c r="E353" s="198" t="str">
        <f t="shared" si="39"/>
        <v/>
      </c>
      <c r="F353" s="198" t="str">
        <f t="shared" si="40"/>
        <v/>
      </c>
      <c r="G353" s="198" t="str">
        <f t="shared" si="41"/>
        <v/>
      </c>
      <c r="H353" s="200" t="str">
        <f t="shared" si="42"/>
        <v/>
      </c>
    </row>
    <row r="354" spans="1:8" ht="16.5">
      <c r="A354" s="177"/>
      <c r="B354" s="201" t="str">
        <f t="shared" si="36"/>
        <v/>
      </c>
      <c r="C354" s="197" t="str">
        <f t="shared" si="37"/>
        <v/>
      </c>
      <c r="D354" s="198" t="str">
        <f t="shared" si="38"/>
        <v/>
      </c>
      <c r="E354" s="198" t="str">
        <f t="shared" si="39"/>
        <v/>
      </c>
      <c r="F354" s="198" t="str">
        <f t="shared" si="40"/>
        <v/>
      </c>
      <c r="G354" s="198" t="str">
        <f t="shared" si="41"/>
        <v/>
      </c>
      <c r="H354" s="200" t="str">
        <f t="shared" si="42"/>
        <v/>
      </c>
    </row>
    <row r="355" spans="1:8" ht="16.5">
      <c r="A355" s="177"/>
      <c r="B355" s="201" t="str">
        <f t="shared" si="36"/>
        <v/>
      </c>
      <c r="C355" s="197" t="str">
        <f t="shared" si="37"/>
        <v/>
      </c>
      <c r="D355" s="198" t="str">
        <f t="shared" si="38"/>
        <v/>
      </c>
      <c r="E355" s="198" t="str">
        <f t="shared" si="39"/>
        <v/>
      </c>
      <c r="F355" s="198" t="str">
        <f t="shared" si="40"/>
        <v/>
      </c>
      <c r="G355" s="198" t="str">
        <f t="shared" si="41"/>
        <v/>
      </c>
      <c r="H355" s="200" t="str">
        <f t="shared" si="42"/>
        <v/>
      </c>
    </row>
    <row r="356" spans="1:8" ht="16.5">
      <c r="A356" s="177"/>
      <c r="B356" s="201" t="str">
        <f t="shared" si="36"/>
        <v/>
      </c>
      <c r="C356" s="197" t="str">
        <f t="shared" si="37"/>
        <v/>
      </c>
      <c r="D356" s="198" t="str">
        <f t="shared" si="38"/>
        <v/>
      </c>
      <c r="E356" s="198" t="str">
        <f t="shared" si="39"/>
        <v/>
      </c>
      <c r="F356" s="198" t="str">
        <f t="shared" si="40"/>
        <v/>
      </c>
      <c r="G356" s="198" t="str">
        <f t="shared" si="41"/>
        <v/>
      </c>
      <c r="H356" s="200" t="str">
        <f t="shared" si="42"/>
        <v/>
      </c>
    </row>
    <row r="357" spans="1:8" ht="16.5">
      <c r="A357" s="177"/>
      <c r="B357" s="201" t="str">
        <f t="shared" si="36"/>
        <v/>
      </c>
      <c r="C357" s="197" t="str">
        <f t="shared" si="37"/>
        <v/>
      </c>
      <c r="D357" s="198" t="str">
        <f t="shared" si="38"/>
        <v/>
      </c>
      <c r="E357" s="198" t="str">
        <f t="shared" si="39"/>
        <v/>
      </c>
      <c r="F357" s="198" t="str">
        <f t="shared" si="40"/>
        <v/>
      </c>
      <c r="G357" s="198" t="str">
        <f t="shared" si="41"/>
        <v/>
      </c>
      <c r="H357" s="200" t="str">
        <f t="shared" si="42"/>
        <v/>
      </c>
    </row>
    <row r="358" spans="1:8" ht="16.5">
      <c r="A358" s="177"/>
      <c r="B358" s="201" t="str">
        <f t="shared" si="36"/>
        <v/>
      </c>
      <c r="C358" s="197" t="str">
        <f t="shared" si="37"/>
        <v/>
      </c>
      <c r="D358" s="198" t="str">
        <f t="shared" si="38"/>
        <v/>
      </c>
      <c r="E358" s="198" t="str">
        <f t="shared" si="39"/>
        <v/>
      </c>
      <c r="F358" s="198" t="str">
        <f t="shared" si="40"/>
        <v/>
      </c>
      <c r="G358" s="198" t="str">
        <f t="shared" si="41"/>
        <v/>
      </c>
      <c r="H358" s="200" t="str">
        <f t="shared" si="42"/>
        <v/>
      </c>
    </row>
    <row r="359" spans="1:8" ht="16.5">
      <c r="A359" s="177"/>
      <c r="B359" s="201" t="str">
        <f t="shared" si="36"/>
        <v/>
      </c>
      <c r="C359" s="197" t="str">
        <f t="shared" si="37"/>
        <v/>
      </c>
      <c r="D359" s="198" t="str">
        <f t="shared" si="38"/>
        <v/>
      </c>
      <c r="E359" s="198" t="str">
        <f t="shared" si="39"/>
        <v/>
      </c>
      <c r="F359" s="198" t="str">
        <f t="shared" si="40"/>
        <v/>
      </c>
      <c r="G359" s="198" t="str">
        <f t="shared" si="41"/>
        <v/>
      </c>
      <c r="H359" s="200" t="str">
        <f t="shared" si="42"/>
        <v/>
      </c>
    </row>
    <row r="360" spans="1:8" ht="16.5">
      <c r="A360" s="177"/>
      <c r="B360" s="201" t="str">
        <f t="shared" si="36"/>
        <v/>
      </c>
      <c r="C360" s="197" t="str">
        <f t="shared" si="37"/>
        <v/>
      </c>
      <c r="D360" s="198" t="str">
        <f t="shared" si="38"/>
        <v/>
      </c>
      <c r="E360" s="198" t="str">
        <f t="shared" si="39"/>
        <v/>
      </c>
      <c r="F360" s="198" t="str">
        <f t="shared" si="40"/>
        <v/>
      </c>
      <c r="G360" s="198" t="str">
        <f t="shared" si="41"/>
        <v/>
      </c>
      <c r="H360" s="200" t="str">
        <f t="shared" si="42"/>
        <v/>
      </c>
    </row>
    <row r="361" spans="1:8" ht="16.5">
      <c r="A361" s="177"/>
      <c r="B361" s="201" t="str">
        <f t="shared" si="36"/>
        <v/>
      </c>
      <c r="C361" s="197" t="str">
        <f t="shared" si="37"/>
        <v/>
      </c>
      <c r="D361" s="198" t="str">
        <f t="shared" si="38"/>
        <v/>
      </c>
      <c r="E361" s="198" t="str">
        <f t="shared" si="39"/>
        <v/>
      </c>
      <c r="F361" s="198" t="str">
        <f t="shared" si="40"/>
        <v/>
      </c>
      <c r="G361" s="198" t="str">
        <f t="shared" si="41"/>
        <v/>
      </c>
      <c r="H361" s="200" t="str">
        <f t="shared" si="42"/>
        <v/>
      </c>
    </row>
    <row r="362" spans="1:8" ht="16.5">
      <c r="A362" s="177"/>
      <c r="B362" s="201" t="str">
        <f t="shared" si="36"/>
        <v/>
      </c>
      <c r="C362" s="197" t="str">
        <f t="shared" si="37"/>
        <v/>
      </c>
      <c r="D362" s="198" t="str">
        <f t="shared" si="38"/>
        <v/>
      </c>
      <c r="E362" s="198" t="str">
        <f t="shared" si="39"/>
        <v/>
      </c>
      <c r="F362" s="198" t="str">
        <f t="shared" si="40"/>
        <v/>
      </c>
      <c r="G362" s="198" t="str">
        <f t="shared" si="41"/>
        <v/>
      </c>
      <c r="H362" s="200" t="str">
        <f t="shared" si="42"/>
        <v/>
      </c>
    </row>
    <row r="363" spans="1:8" ht="16.5">
      <c r="A363" s="177"/>
      <c r="B363" s="201" t="str">
        <f t="shared" si="36"/>
        <v/>
      </c>
      <c r="C363" s="197" t="str">
        <f t="shared" si="37"/>
        <v/>
      </c>
      <c r="D363" s="198" t="str">
        <f t="shared" si="38"/>
        <v/>
      </c>
      <c r="E363" s="198" t="str">
        <f t="shared" si="39"/>
        <v/>
      </c>
      <c r="F363" s="198" t="str">
        <f t="shared" si="40"/>
        <v/>
      </c>
      <c r="G363" s="198" t="str">
        <f t="shared" si="41"/>
        <v/>
      </c>
      <c r="H363" s="200" t="str">
        <f t="shared" si="42"/>
        <v/>
      </c>
    </row>
    <row r="364" spans="1:8" ht="16.5">
      <c r="A364" s="177"/>
      <c r="B364" s="201" t="str">
        <f t="shared" si="36"/>
        <v/>
      </c>
      <c r="C364" s="197" t="str">
        <f t="shared" si="37"/>
        <v/>
      </c>
      <c r="D364" s="198" t="str">
        <f t="shared" si="38"/>
        <v/>
      </c>
      <c r="E364" s="198" t="str">
        <f t="shared" si="39"/>
        <v/>
      </c>
      <c r="F364" s="198" t="str">
        <f t="shared" si="40"/>
        <v/>
      </c>
      <c r="G364" s="198" t="str">
        <f t="shared" si="41"/>
        <v/>
      </c>
      <c r="H364" s="200" t="str">
        <f t="shared" si="42"/>
        <v/>
      </c>
    </row>
    <row r="365" spans="1:8" ht="16.5">
      <c r="A365" s="177"/>
      <c r="B365" s="201" t="str">
        <f t="shared" si="36"/>
        <v/>
      </c>
      <c r="C365" s="197" t="str">
        <f t="shared" si="37"/>
        <v/>
      </c>
      <c r="D365" s="198" t="str">
        <f t="shared" si="38"/>
        <v/>
      </c>
      <c r="E365" s="198" t="str">
        <f t="shared" si="39"/>
        <v/>
      </c>
      <c r="F365" s="198" t="str">
        <f t="shared" si="40"/>
        <v/>
      </c>
      <c r="G365" s="198" t="str">
        <f t="shared" si="41"/>
        <v/>
      </c>
      <c r="H365" s="200" t="str">
        <f t="shared" si="42"/>
        <v/>
      </c>
    </row>
    <row r="366" spans="1:8" ht="16.5">
      <c r="A366" s="177"/>
      <c r="B366" s="201" t="str">
        <f t="shared" si="36"/>
        <v/>
      </c>
      <c r="C366" s="197" t="str">
        <f t="shared" si="37"/>
        <v/>
      </c>
      <c r="D366" s="198" t="str">
        <f t="shared" si="38"/>
        <v/>
      </c>
      <c r="E366" s="198" t="str">
        <f t="shared" si="39"/>
        <v/>
      </c>
      <c r="F366" s="198" t="str">
        <f t="shared" si="40"/>
        <v/>
      </c>
      <c r="G366" s="198" t="str">
        <f t="shared" si="41"/>
        <v/>
      </c>
      <c r="H366" s="200" t="str">
        <f t="shared" si="42"/>
        <v/>
      </c>
    </row>
    <row r="367" spans="1:8" ht="16.5">
      <c r="A367" s="177"/>
      <c r="B367" s="201" t="str">
        <f t="shared" si="36"/>
        <v/>
      </c>
      <c r="C367" s="197" t="str">
        <f t="shared" si="37"/>
        <v/>
      </c>
      <c r="D367" s="198" t="str">
        <f t="shared" si="38"/>
        <v/>
      </c>
      <c r="E367" s="198" t="str">
        <f t="shared" si="39"/>
        <v/>
      </c>
      <c r="F367" s="198" t="str">
        <f t="shared" si="40"/>
        <v/>
      </c>
      <c r="G367" s="198" t="str">
        <f t="shared" si="41"/>
        <v/>
      </c>
      <c r="H367" s="200" t="str">
        <f t="shared" si="42"/>
        <v/>
      </c>
    </row>
    <row r="368" spans="1:8" ht="16.5">
      <c r="A368" s="177"/>
      <c r="B368" s="201" t="str">
        <f t="shared" si="36"/>
        <v/>
      </c>
      <c r="C368" s="197" t="str">
        <f t="shared" si="37"/>
        <v/>
      </c>
      <c r="D368" s="198" t="str">
        <f t="shared" si="38"/>
        <v/>
      </c>
      <c r="E368" s="198" t="str">
        <f t="shared" si="39"/>
        <v/>
      </c>
      <c r="F368" s="198" t="str">
        <f t="shared" si="40"/>
        <v/>
      </c>
      <c r="G368" s="198" t="str">
        <f t="shared" si="41"/>
        <v/>
      </c>
      <c r="H368" s="200" t="str">
        <f t="shared" si="42"/>
        <v/>
      </c>
    </row>
    <row r="369" spans="1:8" ht="16.5">
      <c r="A369" s="177"/>
      <c r="B369" s="201" t="str">
        <f t="shared" si="36"/>
        <v/>
      </c>
      <c r="C369" s="197" t="str">
        <f t="shared" si="37"/>
        <v/>
      </c>
      <c r="D369" s="198" t="str">
        <f t="shared" si="38"/>
        <v/>
      </c>
      <c r="E369" s="198" t="str">
        <f t="shared" si="39"/>
        <v/>
      </c>
      <c r="F369" s="198" t="str">
        <f t="shared" si="40"/>
        <v/>
      </c>
      <c r="G369" s="198" t="str">
        <f t="shared" si="41"/>
        <v/>
      </c>
      <c r="H369" s="200" t="str">
        <f t="shared" si="42"/>
        <v/>
      </c>
    </row>
    <row r="370" spans="1:8" ht="16.5">
      <c r="A370" s="177"/>
      <c r="B370" s="201" t="str">
        <f t="shared" si="36"/>
        <v/>
      </c>
      <c r="C370" s="197" t="str">
        <f t="shared" si="37"/>
        <v/>
      </c>
      <c r="D370" s="198" t="str">
        <f t="shared" si="38"/>
        <v/>
      </c>
      <c r="E370" s="198" t="str">
        <f t="shared" si="39"/>
        <v/>
      </c>
      <c r="F370" s="198" t="str">
        <f t="shared" si="40"/>
        <v/>
      </c>
      <c r="G370" s="198" t="str">
        <f t="shared" si="41"/>
        <v/>
      </c>
      <c r="H370" s="200" t="str">
        <f t="shared" si="42"/>
        <v/>
      </c>
    </row>
    <row r="371" spans="1:8" ht="16.5">
      <c r="A371" s="177"/>
      <c r="B371" s="201" t="str">
        <f t="shared" si="36"/>
        <v/>
      </c>
      <c r="C371" s="197" t="str">
        <f t="shared" si="37"/>
        <v/>
      </c>
      <c r="D371" s="198" t="str">
        <f t="shared" si="38"/>
        <v/>
      </c>
      <c r="E371" s="198" t="str">
        <f t="shared" si="39"/>
        <v/>
      </c>
      <c r="F371" s="198" t="str">
        <f t="shared" si="40"/>
        <v/>
      </c>
      <c r="G371" s="198" t="str">
        <f t="shared" si="41"/>
        <v/>
      </c>
      <c r="H371" s="200" t="str">
        <f t="shared" si="42"/>
        <v/>
      </c>
    </row>
    <row r="372" spans="1:8" ht="16.5">
      <c r="A372" s="177"/>
      <c r="B372" s="201" t="str">
        <f t="shared" si="36"/>
        <v/>
      </c>
      <c r="C372" s="197" t="str">
        <f t="shared" si="37"/>
        <v/>
      </c>
      <c r="D372" s="198" t="str">
        <f t="shared" si="38"/>
        <v/>
      </c>
      <c r="E372" s="198" t="str">
        <f t="shared" si="39"/>
        <v/>
      </c>
      <c r="F372" s="198" t="str">
        <f t="shared" si="40"/>
        <v/>
      </c>
      <c r="G372" s="198" t="str">
        <f t="shared" si="41"/>
        <v/>
      </c>
      <c r="H372" s="200" t="str">
        <f t="shared" si="42"/>
        <v/>
      </c>
    </row>
    <row r="373" spans="1:8" ht="16.5">
      <c r="A373" s="177"/>
      <c r="B373" s="201" t="str">
        <f t="shared" si="36"/>
        <v/>
      </c>
      <c r="C373" s="197" t="str">
        <f t="shared" si="37"/>
        <v/>
      </c>
      <c r="D373" s="198" t="str">
        <f t="shared" si="38"/>
        <v/>
      </c>
      <c r="E373" s="198" t="str">
        <f t="shared" si="39"/>
        <v/>
      </c>
      <c r="F373" s="198" t="str">
        <f t="shared" si="40"/>
        <v/>
      </c>
      <c r="G373" s="198" t="str">
        <f t="shared" si="41"/>
        <v/>
      </c>
      <c r="H373" s="200" t="str">
        <f t="shared" si="42"/>
        <v/>
      </c>
    </row>
    <row r="374" spans="1:8" ht="16.5">
      <c r="A374" s="177"/>
      <c r="B374" s="201" t="str">
        <f t="shared" si="36"/>
        <v/>
      </c>
      <c r="C374" s="197" t="str">
        <f t="shared" si="37"/>
        <v/>
      </c>
      <c r="D374" s="198" t="str">
        <f t="shared" si="38"/>
        <v/>
      </c>
      <c r="E374" s="198" t="str">
        <f t="shared" si="39"/>
        <v/>
      </c>
      <c r="F374" s="198" t="str">
        <f t="shared" si="40"/>
        <v/>
      </c>
      <c r="G374" s="198" t="str">
        <f t="shared" si="41"/>
        <v/>
      </c>
      <c r="H374" s="200" t="str">
        <f t="shared" si="42"/>
        <v/>
      </c>
    </row>
    <row r="375" spans="1:8" ht="16.5">
      <c r="A375" s="177"/>
      <c r="B375" s="202" t="str">
        <f t="shared" si="36"/>
        <v/>
      </c>
      <c r="C375" s="203" t="str">
        <f t="shared" si="37"/>
        <v/>
      </c>
      <c r="D375" s="204" t="str">
        <f t="shared" si="38"/>
        <v/>
      </c>
      <c r="E375" s="204" t="str">
        <f t="shared" si="39"/>
        <v/>
      </c>
      <c r="F375" s="204" t="str">
        <f t="shared" si="40"/>
        <v/>
      </c>
      <c r="G375" s="204" t="str">
        <f t="shared" si="41"/>
        <v/>
      </c>
      <c r="H375" s="205" t="str">
        <f t="shared" si="42"/>
        <v/>
      </c>
    </row>
    <row r="376" spans="1:8" ht="16.5">
      <c r="A376" s="177"/>
      <c r="B376" s="180"/>
      <c r="C376" s="206"/>
      <c r="D376" s="207"/>
      <c r="E376" s="207"/>
      <c r="F376" s="207"/>
      <c r="G376" s="207"/>
      <c r="H376" s="207"/>
    </row>
    <row r="377" spans="1:8" ht="16.5">
      <c r="A377" s="177"/>
      <c r="B377" s="180"/>
      <c r="C377" s="206"/>
      <c r="D377" s="207"/>
      <c r="E377" s="207"/>
      <c r="F377" s="207"/>
      <c r="G377" s="207"/>
      <c r="H377" s="207"/>
    </row>
    <row r="378" spans="1:8" ht="16.5">
      <c r="A378" s="177"/>
      <c r="B378" s="180"/>
      <c r="C378" s="206"/>
      <c r="D378" s="207"/>
      <c r="E378" s="207"/>
      <c r="F378" s="207"/>
      <c r="G378" s="207"/>
      <c r="H378" s="207"/>
    </row>
    <row r="379" spans="1:8" ht="16.5">
      <c r="A379" s="177"/>
      <c r="B379" s="180"/>
      <c r="C379" s="206"/>
      <c r="D379" s="207"/>
      <c r="E379" s="207"/>
      <c r="F379" s="207"/>
      <c r="G379" s="207"/>
      <c r="H379" s="207"/>
    </row>
    <row r="380" spans="1:8" ht="16.5">
      <c r="A380" s="177"/>
      <c r="B380" s="180"/>
      <c r="C380" s="206"/>
      <c r="D380" s="207"/>
      <c r="E380" s="207"/>
      <c r="F380" s="207"/>
      <c r="G380" s="207"/>
      <c r="H380" s="207"/>
    </row>
    <row r="381" spans="1:8" ht="16.5">
      <c r="A381" s="177"/>
      <c r="B381" s="180"/>
      <c r="C381" s="206"/>
      <c r="D381" s="207"/>
      <c r="E381" s="207"/>
      <c r="F381" s="207"/>
      <c r="G381" s="207"/>
      <c r="H381" s="207"/>
    </row>
    <row r="382" spans="1:8" ht="16.5">
      <c r="A382" s="177"/>
      <c r="B382" s="180"/>
      <c r="C382" s="206"/>
      <c r="D382" s="207"/>
      <c r="E382" s="207"/>
      <c r="F382" s="207"/>
      <c r="G382" s="207"/>
      <c r="H382" s="207"/>
    </row>
    <row r="383" spans="1:8" ht="16.5">
      <c r="A383" s="177"/>
      <c r="B383" s="180"/>
      <c r="C383" s="206"/>
      <c r="D383" s="207"/>
      <c r="E383" s="207"/>
      <c r="F383" s="207"/>
      <c r="G383" s="207"/>
      <c r="H383" s="207"/>
    </row>
    <row r="384" spans="1:8" ht="16.5">
      <c r="A384" s="177"/>
      <c r="B384" s="180"/>
      <c r="C384" s="206"/>
      <c r="D384" s="207"/>
      <c r="E384" s="207"/>
      <c r="F384" s="207"/>
      <c r="G384" s="207"/>
      <c r="H384" s="207"/>
    </row>
    <row r="385" spans="1:8" ht="16.5">
      <c r="A385" s="177"/>
      <c r="B385" s="180"/>
      <c r="C385" s="206"/>
      <c r="D385" s="207"/>
      <c r="E385" s="207"/>
      <c r="F385" s="207"/>
      <c r="G385" s="207"/>
      <c r="H385" s="207"/>
    </row>
    <row r="386" spans="1:8" ht="16.5">
      <c r="A386" s="177"/>
      <c r="B386" s="180"/>
      <c r="C386" s="206"/>
      <c r="D386" s="207"/>
      <c r="E386" s="207"/>
      <c r="F386" s="207"/>
      <c r="G386" s="207"/>
      <c r="H386" s="207"/>
    </row>
    <row r="387" spans="1:8" ht="16.5">
      <c r="A387" s="177"/>
      <c r="B387" s="180"/>
      <c r="C387" s="206"/>
      <c r="D387" s="207"/>
      <c r="E387" s="207"/>
      <c r="F387" s="207"/>
      <c r="G387" s="207"/>
      <c r="H387" s="207"/>
    </row>
    <row r="388" spans="1:8" ht="16.5">
      <c r="A388" s="177"/>
      <c r="B388" s="180"/>
      <c r="C388" s="206"/>
      <c r="D388" s="207"/>
      <c r="E388" s="207"/>
      <c r="F388" s="207"/>
      <c r="G388" s="207"/>
      <c r="H388" s="207"/>
    </row>
    <row r="389" spans="1:8" ht="16.5">
      <c r="A389" s="177"/>
      <c r="B389" s="180"/>
      <c r="C389" s="206"/>
      <c r="D389" s="207"/>
      <c r="E389" s="207"/>
      <c r="F389" s="207"/>
      <c r="G389" s="207"/>
      <c r="H389" s="207"/>
    </row>
    <row r="390" spans="1:8" ht="16.5">
      <c r="A390" s="177"/>
      <c r="B390" s="180"/>
      <c r="C390" s="206"/>
      <c r="D390" s="207"/>
      <c r="E390" s="207"/>
      <c r="F390" s="207"/>
      <c r="G390" s="207"/>
      <c r="H390" s="207"/>
    </row>
    <row r="391" spans="1:8" ht="16.5">
      <c r="A391" s="177"/>
      <c r="B391" s="180"/>
      <c r="C391" s="206"/>
      <c r="D391" s="207"/>
      <c r="E391" s="207"/>
      <c r="F391" s="207"/>
      <c r="G391" s="207"/>
      <c r="H391" s="207"/>
    </row>
    <row r="392" spans="1:8" ht="16.5">
      <c r="A392" s="177"/>
      <c r="B392" s="180"/>
      <c r="C392" s="206"/>
      <c r="D392" s="207"/>
      <c r="E392" s="207"/>
      <c r="F392" s="207"/>
      <c r="G392" s="207"/>
      <c r="H392" s="207"/>
    </row>
    <row r="393" spans="1:8" ht="16.5">
      <c r="A393" s="177"/>
      <c r="B393" s="180"/>
      <c r="C393" s="206"/>
      <c r="D393" s="207"/>
      <c r="E393" s="207"/>
      <c r="F393" s="207"/>
      <c r="G393" s="207"/>
      <c r="H393" s="207"/>
    </row>
    <row r="394" spans="1:8" ht="16.5">
      <c r="A394" s="177"/>
      <c r="B394" s="180"/>
      <c r="C394" s="206"/>
      <c r="D394" s="207"/>
      <c r="E394" s="207"/>
      <c r="F394" s="207"/>
      <c r="G394" s="207"/>
      <c r="H394" s="207"/>
    </row>
    <row r="395" spans="1:8" ht="16.5">
      <c r="A395" s="177"/>
      <c r="B395" s="180"/>
      <c r="C395" s="206"/>
      <c r="D395" s="207"/>
      <c r="E395" s="207"/>
      <c r="F395" s="207"/>
      <c r="G395" s="207"/>
      <c r="H395" s="207"/>
    </row>
    <row r="396" spans="1:8" ht="16.5">
      <c r="A396" s="177"/>
      <c r="B396" s="180"/>
      <c r="C396" s="206"/>
      <c r="D396" s="207"/>
      <c r="E396" s="207"/>
      <c r="F396" s="207"/>
      <c r="G396" s="207"/>
      <c r="H396" s="207"/>
    </row>
    <row r="397" spans="1:8" ht="16.5">
      <c r="A397" s="177"/>
      <c r="B397" s="180"/>
      <c r="C397" s="206"/>
      <c r="D397" s="207"/>
      <c r="E397" s="207"/>
      <c r="F397" s="207"/>
      <c r="G397" s="207"/>
      <c r="H397" s="207"/>
    </row>
    <row r="398" spans="1:8" ht="16.5">
      <c r="A398" s="177"/>
      <c r="B398" s="180"/>
      <c r="C398" s="206"/>
      <c r="D398" s="207"/>
      <c r="E398" s="207"/>
      <c r="F398" s="207"/>
      <c r="G398" s="207"/>
      <c r="H398" s="207"/>
    </row>
    <row r="399" spans="1:8" ht="16.5">
      <c r="A399" s="177"/>
      <c r="B399" s="180"/>
      <c r="C399" s="206"/>
      <c r="D399" s="207"/>
      <c r="E399" s="207"/>
      <c r="F399" s="207"/>
      <c r="G399" s="207"/>
      <c r="H399" s="207"/>
    </row>
    <row r="400" spans="1:8" ht="16.5">
      <c r="A400" s="177"/>
      <c r="B400" s="180"/>
      <c r="C400" s="206"/>
      <c r="D400" s="207"/>
      <c r="E400" s="207"/>
      <c r="F400" s="207"/>
      <c r="G400" s="207"/>
      <c r="H400" s="207"/>
    </row>
    <row r="401" spans="1:8" ht="16.5">
      <c r="A401" s="177"/>
      <c r="B401" s="180"/>
      <c r="C401" s="206"/>
      <c r="D401" s="207"/>
      <c r="E401" s="207"/>
      <c r="F401" s="207"/>
      <c r="G401" s="207"/>
      <c r="H401" s="207"/>
    </row>
    <row r="402" spans="1:8" ht="16.5">
      <c r="A402" s="177"/>
      <c r="B402" s="180"/>
      <c r="C402" s="206"/>
      <c r="D402" s="207"/>
      <c r="E402" s="207"/>
      <c r="F402" s="207"/>
      <c r="G402" s="207"/>
      <c r="H402" s="207"/>
    </row>
    <row r="403" spans="1:8" ht="16.5">
      <c r="A403" s="177"/>
      <c r="B403" s="180"/>
      <c r="C403" s="206"/>
      <c r="D403" s="207"/>
      <c r="E403" s="207"/>
      <c r="F403" s="207"/>
      <c r="G403" s="207"/>
      <c r="H403" s="207"/>
    </row>
    <row r="404" spans="1:8" ht="16.5">
      <c r="A404" s="177"/>
      <c r="B404" s="180"/>
      <c r="C404" s="206"/>
      <c r="D404" s="207"/>
      <c r="E404" s="207"/>
      <c r="F404" s="207"/>
      <c r="G404" s="207"/>
      <c r="H404" s="207"/>
    </row>
    <row r="405" spans="1:8" ht="16.5">
      <c r="A405" s="177"/>
      <c r="B405" s="180"/>
      <c r="C405" s="206"/>
      <c r="D405" s="207"/>
      <c r="E405" s="207"/>
      <c r="F405" s="207"/>
      <c r="G405" s="207"/>
      <c r="H405" s="207"/>
    </row>
    <row r="406" spans="1:8" ht="16.5">
      <c r="A406" s="177"/>
      <c r="B406" s="180"/>
      <c r="C406" s="206"/>
      <c r="D406" s="207"/>
      <c r="E406" s="207"/>
      <c r="F406" s="207"/>
      <c r="G406" s="207"/>
      <c r="H406" s="207"/>
    </row>
    <row r="407" spans="1:8" ht="16.5">
      <c r="A407" s="177"/>
      <c r="B407" s="180"/>
      <c r="C407" s="206"/>
      <c r="D407" s="207"/>
      <c r="E407" s="207"/>
      <c r="F407" s="207"/>
      <c r="G407" s="207"/>
      <c r="H407" s="207"/>
    </row>
    <row r="408" spans="1:8" ht="16.5">
      <c r="A408" s="177"/>
      <c r="B408" s="180"/>
      <c r="C408" s="206"/>
      <c r="D408" s="207"/>
      <c r="E408" s="207"/>
      <c r="F408" s="207"/>
      <c r="G408" s="207"/>
      <c r="H408" s="207"/>
    </row>
    <row r="409" spans="1:8" ht="16.5">
      <c r="A409" s="177"/>
      <c r="B409" s="180"/>
      <c r="C409" s="206"/>
      <c r="D409" s="207"/>
      <c r="E409" s="207"/>
      <c r="F409" s="207"/>
      <c r="G409" s="207"/>
      <c r="H409" s="207"/>
    </row>
    <row r="410" spans="1:8" ht="16.5">
      <c r="A410" s="177"/>
      <c r="B410" s="180"/>
      <c r="C410" s="206"/>
      <c r="D410" s="207"/>
      <c r="E410" s="207"/>
      <c r="F410" s="207"/>
      <c r="G410" s="207"/>
      <c r="H410" s="207"/>
    </row>
    <row r="411" spans="1:8" ht="16.5">
      <c r="A411" s="177"/>
      <c r="B411" s="180"/>
      <c r="C411" s="206"/>
      <c r="D411" s="207"/>
      <c r="E411" s="207"/>
      <c r="F411" s="207"/>
      <c r="G411" s="207"/>
      <c r="H411" s="207"/>
    </row>
    <row r="412" spans="1:8" ht="16.5">
      <c r="A412" s="177"/>
      <c r="B412" s="180"/>
      <c r="C412" s="206"/>
      <c r="D412" s="207"/>
      <c r="E412" s="207"/>
      <c r="F412" s="207"/>
      <c r="G412" s="207"/>
      <c r="H412" s="207"/>
    </row>
    <row r="413" spans="1:8" ht="16.5">
      <c r="A413" s="177"/>
      <c r="B413" s="180"/>
      <c r="C413" s="206"/>
      <c r="D413" s="207"/>
      <c r="E413" s="207"/>
      <c r="F413" s="207"/>
      <c r="G413" s="207"/>
      <c r="H413" s="207"/>
    </row>
    <row r="414" spans="1:8" ht="16.5">
      <c r="A414" s="177"/>
      <c r="B414" s="180"/>
      <c r="C414" s="206"/>
      <c r="D414" s="207"/>
      <c r="E414" s="207"/>
      <c r="F414" s="207"/>
      <c r="G414" s="207"/>
      <c r="H414" s="207"/>
    </row>
    <row r="415" spans="1:8" ht="16.5">
      <c r="A415" s="177"/>
      <c r="B415" s="180"/>
      <c r="C415" s="206"/>
      <c r="D415" s="207"/>
      <c r="E415" s="207"/>
      <c r="F415" s="207"/>
      <c r="G415" s="207"/>
      <c r="H415" s="207"/>
    </row>
    <row r="416" spans="1:8" ht="16.5">
      <c r="A416" s="177"/>
      <c r="B416" s="180"/>
      <c r="C416" s="206"/>
      <c r="D416" s="207"/>
      <c r="E416" s="207"/>
      <c r="F416" s="207"/>
      <c r="G416" s="207"/>
      <c r="H416" s="207"/>
    </row>
    <row r="417" spans="1:8" ht="16.5">
      <c r="A417" s="177"/>
      <c r="B417" s="180"/>
      <c r="C417" s="206"/>
      <c r="D417" s="207"/>
      <c r="E417" s="207"/>
      <c r="F417" s="207"/>
      <c r="G417" s="207"/>
      <c r="H417" s="207"/>
    </row>
    <row r="418" spans="1:8" ht="16.5">
      <c r="A418" s="177"/>
      <c r="B418" s="180"/>
      <c r="C418" s="206"/>
      <c r="D418" s="207"/>
      <c r="E418" s="207"/>
      <c r="F418" s="207"/>
      <c r="G418" s="207"/>
      <c r="H418" s="207"/>
    </row>
    <row r="419" spans="1:8" ht="16.5">
      <c r="A419" s="177"/>
      <c r="B419" s="180"/>
      <c r="C419" s="206"/>
      <c r="D419" s="207"/>
      <c r="E419" s="207"/>
      <c r="F419" s="207"/>
      <c r="G419" s="207"/>
      <c r="H419" s="207"/>
    </row>
    <row r="420" spans="1:8" ht="16.5">
      <c r="A420" s="177"/>
      <c r="B420" s="180"/>
      <c r="C420" s="206"/>
      <c r="D420" s="207"/>
      <c r="E420" s="207"/>
      <c r="F420" s="207"/>
      <c r="G420" s="207"/>
      <c r="H420" s="207"/>
    </row>
    <row r="421" spans="1:8" ht="16.5">
      <c r="A421" s="177"/>
      <c r="B421" s="180"/>
      <c r="C421" s="206"/>
      <c r="D421" s="207"/>
      <c r="E421" s="207"/>
      <c r="F421" s="207"/>
      <c r="G421" s="207"/>
      <c r="H421" s="207"/>
    </row>
    <row r="422" spans="1:8" ht="16.5">
      <c r="A422" s="177"/>
      <c r="B422" s="180"/>
      <c r="C422" s="206"/>
      <c r="D422" s="207"/>
      <c r="E422" s="207"/>
      <c r="F422" s="207"/>
      <c r="G422" s="207"/>
      <c r="H422" s="207"/>
    </row>
    <row r="423" spans="1:8" ht="16.5">
      <c r="A423" s="177"/>
      <c r="B423" s="180"/>
      <c r="C423" s="206"/>
      <c r="D423" s="207"/>
      <c r="E423" s="207"/>
      <c r="F423" s="207"/>
      <c r="G423" s="207"/>
      <c r="H423" s="207"/>
    </row>
    <row r="424" spans="1:8" ht="16.5">
      <c r="A424" s="177"/>
      <c r="B424" s="180"/>
      <c r="C424" s="206"/>
      <c r="D424" s="207"/>
      <c r="E424" s="207"/>
      <c r="F424" s="207"/>
      <c r="G424" s="207"/>
      <c r="H424" s="207"/>
    </row>
    <row r="425" spans="1:8" ht="16.5">
      <c r="A425" s="177"/>
      <c r="B425" s="180"/>
      <c r="C425" s="206"/>
      <c r="D425" s="207"/>
      <c r="E425" s="207"/>
      <c r="F425" s="207"/>
      <c r="G425" s="207"/>
      <c r="H425" s="207"/>
    </row>
    <row r="426" spans="1:8" ht="16.5">
      <c r="A426" s="177"/>
      <c r="B426" s="180"/>
      <c r="C426" s="206"/>
      <c r="D426" s="207"/>
      <c r="E426" s="207"/>
      <c r="F426" s="207"/>
      <c r="G426" s="207"/>
      <c r="H426" s="207"/>
    </row>
    <row r="427" spans="1:8" ht="16.5">
      <c r="A427" s="177"/>
      <c r="B427" s="180"/>
      <c r="C427" s="206"/>
      <c r="D427" s="207"/>
      <c r="E427" s="207"/>
      <c r="F427" s="207"/>
      <c r="G427" s="207"/>
      <c r="H427" s="207"/>
    </row>
    <row r="428" spans="1:8" ht="16.5">
      <c r="A428" s="177"/>
      <c r="B428" s="180"/>
      <c r="C428" s="206"/>
      <c r="D428" s="207"/>
      <c r="E428" s="207"/>
      <c r="F428" s="207"/>
      <c r="G428" s="207"/>
      <c r="H428" s="207"/>
    </row>
    <row r="429" spans="1:8" ht="16.5">
      <c r="A429" s="177"/>
      <c r="B429" s="180"/>
      <c r="C429" s="206"/>
      <c r="D429" s="207"/>
      <c r="E429" s="207"/>
      <c r="F429" s="207"/>
      <c r="G429" s="207"/>
      <c r="H429" s="207"/>
    </row>
    <row r="430" spans="1:8" ht="16.5">
      <c r="A430" s="177"/>
      <c r="B430" s="180"/>
      <c r="C430" s="206"/>
      <c r="D430" s="207"/>
      <c r="E430" s="207"/>
      <c r="F430" s="207"/>
      <c r="G430" s="207"/>
      <c r="H430" s="207"/>
    </row>
    <row r="431" spans="1:8" ht="16.5">
      <c r="A431" s="177"/>
      <c r="B431" s="180"/>
      <c r="C431" s="206"/>
      <c r="D431" s="207"/>
      <c r="E431" s="207"/>
      <c r="F431" s="207"/>
      <c r="G431" s="207"/>
      <c r="H431" s="207"/>
    </row>
    <row r="432" spans="1:8" ht="16.5">
      <c r="A432" s="177"/>
      <c r="B432" s="180"/>
      <c r="C432" s="206"/>
      <c r="D432" s="207"/>
      <c r="E432" s="207"/>
      <c r="F432" s="207"/>
      <c r="G432" s="207"/>
      <c r="H432" s="207"/>
    </row>
    <row r="433" spans="1:8" ht="16.5">
      <c r="A433" s="177"/>
      <c r="B433" s="180"/>
      <c r="C433" s="206"/>
      <c r="D433" s="207"/>
      <c r="E433" s="207"/>
      <c r="F433" s="207"/>
      <c r="G433" s="207"/>
      <c r="H433" s="207"/>
    </row>
    <row r="434" spans="1:8" ht="16.5">
      <c r="A434" s="177"/>
      <c r="B434" s="180"/>
      <c r="C434" s="206"/>
      <c r="D434" s="207"/>
      <c r="E434" s="207"/>
      <c r="F434" s="207"/>
      <c r="G434" s="207"/>
      <c r="H434" s="207"/>
    </row>
    <row r="435" spans="1:8" ht="16.5">
      <c r="A435" s="177"/>
      <c r="B435" s="180"/>
      <c r="C435" s="206"/>
      <c r="D435" s="207"/>
      <c r="E435" s="207"/>
      <c r="F435" s="207"/>
      <c r="G435" s="207"/>
      <c r="H435" s="207"/>
    </row>
    <row r="436" spans="1:8" ht="16.5">
      <c r="A436" s="177"/>
      <c r="B436" s="180"/>
      <c r="C436" s="206"/>
      <c r="D436" s="207"/>
      <c r="E436" s="207"/>
      <c r="F436" s="207"/>
      <c r="G436" s="207"/>
      <c r="H436" s="207"/>
    </row>
    <row r="437" spans="1:8" ht="16.5">
      <c r="A437" s="177"/>
      <c r="B437" s="180"/>
      <c r="C437" s="206"/>
      <c r="D437" s="207"/>
      <c r="E437" s="207"/>
      <c r="F437" s="207"/>
      <c r="G437" s="207"/>
      <c r="H437" s="207"/>
    </row>
    <row r="438" spans="1:8" ht="16.5">
      <c r="A438" s="177"/>
      <c r="B438" s="180"/>
      <c r="C438" s="206"/>
      <c r="D438" s="207"/>
      <c r="E438" s="207"/>
      <c r="F438" s="207"/>
      <c r="G438" s="207"/>
      <c r="H438" s="207"/>
    </row>
    <row r="439" spans="1:8" ht="16.5">
      <c r="A439" s="177"/>
      <c r="B439" s="180"/>
      <c r="C439" s="206"/>
      <c r="D439" s="207"/>
      <c r="E439" s="207"/>
      <c r="F439" s="207"/>
      <c r="G439" s="207"/>
      <c r="H439" s="207"/>
    </row>
    <row r="440" spans="1:8" ht="16.5">
      <c r="A440" s="177"/>
      <c r="B440" s="180"/>
      <c r="C440" s="206"/>
      <c r="D440" s="207"/>
      <c r="E440" s="207"/>
      <c r="F440" s="207"/>
      <c r="G440" s="207"/>
      <c r="H440" s="207"/>
    </row>
    <row r="441" spans="1:8" ht="16.5">
      <c r="A441" s="177"/>
      <c r="B441" s="180"/>
      <c r="C441" s="206"/>
      <c r="D441" s="207"/>
      <c r="E441" s="207"/>
      <c r="F441" s="207"/>
      <c r="G441" s="207"/>
      <c r="H441" s="207"/>
    </row>
    <row r="442" spans="1:8" ht="16.5">
      <c r="A442" s="177"/>
      <c r="B442" s="180"/>
      <c r="C442" s="206"/>
      <c r="D442" s="207"/>
      <c r="E442" s="207"/>
      <c r="F442" s="207"/>
      <c r="G442" s="207"/>
      <c r="H442" s="207"/>
    </row>
    <row r="443" spans="1:8" ht="16.5">
      <c r="A443" s="177"/>
      <c r="B443" s="180"/>
      <c r="C443" s="206"/>
      <c r="D443" s="207"/>
      <c r="E443" s="207"/>
      <c r="F443" s="207"/>
      <c r="G443" s="207"/>
      <c r="H443" s="207"/>
    </row>
    <row r="444" spans="1:8" ht="16.5">
      <c r="A444" s="177"/>
      <c r="B444" s="180"/>
      <c r="C444" s="206"/>
      <c r="D444" s="207"/>
      <c r="E444" s="207"/>
      <c r="F444" s="207"/>
      <c r="G444" s="207"/>
      <c r="H444" s="207"/>
    </row>
    <row r="445" spans="1:8" ht="16.5">
      <c r="A445" s="177"/>
      <c r="B445" s="180"/>
      <c r="C445" s="206"/>
      <c r="D445" s="207"/>
      <c r="E445" s="207"/>
      <c r="F445" s="207"/>
      <c r="G445" s="207"/>
      <c r="H445" s="207"/>
    </row>
    <row r="446" spans="1:8" ht="16.5">
      <c r="A446" s="177"/>
      <c r="B446" s="180"/>
      <c r="C446" s="206"/>
      <c r="D446" s="207"/>
      <c r="E446" s="207"/>
      <c r="F446" s="207"/>
      <c r="G446" s="207"/>
      <c r="H446" s="207"/>
    </row>
    <row r="447" spans="1:8" ht="16.5">
      <c r="A447" s="177"/>
      <c r="B447" s="180"/>
      <c r="C447" s="206"/>
      <c r="D447" s="207"/>
      <c r="E447" s="207"/>
      <c r="F447" s="207"/>
      <c r="G447" s="207"/>
      <c r="H447" s="207"/>
    </row>
    <row r="448" spans="1:8" ht="16.5">
      <c r="A448" s="177"/>
      <c r="B448" s="180"/>
      <c r="C448" s="206"/>
      <c r="D448" s="207"/>
      <c r="E448" s="207"/>
      <c r="F448" s="207"/>
      <c r="G448" s="207"/>
      <c r="H448" s="207"/>
    </row>
    <row r="449" spans="1:8" ht="16.5">
      <c r="A449" s="177"/>
      <c r="B449" s="180"/>
      <c r="C449" s="206"/>
      <c r="D449" s="207"/>
      <c r="E449" s="207"/>
      <c r="F449" s="207"/>
      <c r="G449" s="207"/>
      <c r="H449" s="207"/>
    </row>
    <row r="450" spans="1:8" ht="16.5">
      <c r="A450" s="177"/>
      <c r="B450" s="180"/>
      <c r="C450" s="206"/>
      <c r="D450" s="207"/>
      <c r="E450" s="207"/>
      <c r="F450" s="207"/>
      <c r="G450" s="207"/>
      <c r="H450" s="207"/>
    </row>
    <row r="451" spans="1:8" ht="16.5">
      <c r="A451" s="177"/>
      <c r="B451" s="180"/>
      <c r="C451" s="206"/>
      <c r="D451" s="207"/>
      <c r="E451" s="207"/>
      <c r="F451" s="207"/>
      <c r="G451" s="207"/>
      <c r="H451" s="207"/>
    </row>
    <row r="452" spans="1:8" ht="16.5">
      <c r="A452" s="177"/>
      <c r="B452" s="180"/>
      <c r="C452" s="206"/>
      <c r="D452" s="207"/>
      <c r="E452" s="207"/>
      <c r="F452" s="207"/>
      <c r="G452" s="207"/>
      <c r="H452" s="207"/>
    </row>
    <row r="453" spans="1:8" ht="16.5">
      <c r="A453" s="177"/>
      <c r="B453" s="180"/>
      <c r="C453" s="206"/>
      <c r="D453" s="207"/>
      <c r="E453" s="207"/>
      <c r="F453" s="207"/>
      <c r="G453" s="207"/>
      <c r="H453" s="207"/>
    </row>
    <row r="454" spans="1:8" ht="16.5">
      <c r="A454" s="177"/>
      <c r="B454" s="180"/>
      <c r="C454" s="206"/>
      <c r="D454" s="207"/>
      <c r="E454" s="207"/>
      <c r="F454" s="207"/>
      <c r="G454" s="207"/>
      <c r="H454" s="207"/>
    </row>
    <row r="455" spans="1:8" ht="16.5">
      <c r="A455" s="177"/>
      <c r="B455" s="180"/>
      <c r="C455" s="206"/>
      <c r="D455" s="207"/>
      <c r="E455" s="207"/>
      <c r="F455" s="207"/>
      <c r="G455" s="207"/>
      <c r="H455" s="207"/>
    </row>
    <row r="456" spans="1:8" ht="16.5">
      <c r="A456" s="177"/>
      <c r="B456" s="180"/>
      <c r="C456" s="206"/>
      <c r="D456" s="207"/>
      <c r="E456" s="207"/>
      <c r="F456" s="207"/>
      <c r="G456" s="207"/>
      <c r="H456" s="207"/>
    </row>
    <row r="457" spans="1:8" ht="16.5">
      <c r="A457" s="177"/>
      <c r="B457" s="180"/>
      <c r="C457" s="206"/>
      <c r="D457" s="207"/>
      <c r="E457" s="207"/>
      <c r="F457" s="207"/>
      <c r="G457" s="207"/>
      <c r="H457" s="207"/>
    </row>
    <row r="458" spans="1:8" ht="16.5">
      <c r="A458" s="177"/>
      <c r="B458" s="180"/>
      <c r="C458" s="206"/>
      <c r="D458" s="207"/>
      <c r="E458" s="207"/>
      <c r="F458" s="207"/>
      <c r="G458" s="207"/>
      <c r="H458" s="207"/>
    </row>
    <row r="459" spans="1:8" ht="16.5">
      <c r="A459" s="177"/>
      <c r="B459" s="180"/>
      <c r="C459" s="206"/>
      <c r="D459" s="207"/>
      <c r="E459" s="207"/>
      <c r="F459" s="207"/>
      <c r="G459" s="207"/>
      <c r="H459" s="207"/>
    </row>
    <row r="460" spans="1:8" ht="16.5">
      <c r="A460" s="177"/>
      <c r="B460" s="180"/>
      <c r="C460" s="206"/>
      <c r="D460" s="207"/>
      <c r="E460" s="207"/>
      <c r="F460" s="207"/>
      <c r="G460" s="207"/>
      <c r="H460" s="207"/>
    </row>
    <row r="461" spans="1:8" ht="16.5">
      <c r="A461" s="177"/>
      <c r="B461" s="180"/>
      <c r="C461" s="206"/>
      <c r="D461" s="207"/>
      <c r="E461" s="207"/>
      <c r="F461" s="207"/>
      <c r="G461" s="207"/>
      <c r="H461" s="207"/>
    </row>
    <row r="462" spans="1:8">
      <c r="A462" s="208"/>
      <c r="B462" s="209"/>
      <c r="C462" s="210"/>
      <c r="D462" s="211"/>
      <c r="E462" s="211"/>
      <c r="F462" s="211"/>
      <c r="G462" s="211"/>
      <c r="H462" s="211"/>
    </row>
    <row r="463" spans="1:8">
      <c r="A463" s="208"/>
      <c r="B463" s="209"/>
      <c r="C463" s="210"/>
      <c r="D463" s="211"/>
      <c r="E463" s="211"/>
      <c r="F463" s="211"/>
      <c r="G463" s="211"/>
      <c r="H463" s="211"/>
    </row>
    <row r="464" spans="1:8">
      <c r="A464" s="208"/>
      <c r="B464" s="209"/>
      <c r="C464" s="210"/>
      <c r="D464" s="211"/>
      <c r="E464" s="211"/>
      <c r="F464" s="211"/>
      <c r="G464" s="211"/>
      <c r="H464" s="211"/>
    </row>
    <row r="465" spans="1:8">
      <c r="A465" s="208"/>
      <c r="B465" s="209"/>
      <c r="C465" s="210"/>
      <c r="D465" s="211"/>
      <c r="E465" s="211"/>
      <c r="F465" s="211"/>
      <c r="G465" s="211"/>
      <c r="H465" s="211"/>
    </row>
    <row r="466" spans="1:8">
      <c r="A466" s="208"/>
      <c r="B466" s="209"/>
      <c r="C466" s="210"/>
      <c r="D466" s="211"/>
      <c r="E466" s="211"/>
      <c r="F466" s="211"/>
      <c r="G466" s="211"/>
      <c r="H466" s="211"/>
    </row>
    <row r="467" spans="1:8">
      <c r="A467" s="208"/>
      <c r="B467" s="209"/>
      <c r="C467" s="210"/>
      <c r="D467" s="211"/>
      <c r="E467" s="211"/>
      <c r="F467" s="211"/>
      <c r="G467" s="211"/>
      <c r="H467" s="211"/>
    </row>
    <row r="468" spans="1:8">
      <c r="A468" s="208"/>
      <c r="B468" s="209"/>
      <c r="C468" s="210"/>
      <c r="D468" s="211"/>
      <c r="E468" s="211"/>
      <c r="F468" s="211"/>
      <c r="G468" s="211"/>
      <c r="H468" s="211"/>
    </row>
    <row r="469" spans="1:8">
      <c r="A469" s="208"/>
      <c r="B469" s="209"/>
      <c r="C469" s="210"/>
      <c r="D469" s="211"/>
      <c r="E469" s="211"/>
      <c r="F469" s="211"/>
      <c r="G469" s="211"/>
      <c r="H469" s="211"/>
    </row>
    <row r="470" spans="1:8">
      <c r="A470" s="208"/>
      <c r="B470" s="209"/>
      <c r="C470" s="210"/>
      <c r="D470" s="211"/>
      <c r="E470" s="211"/>
      <c r="F470" s="211"/>
      <c r="G470" s="211"/>
      <c r="H470" s="211"/>
    </row>
    <row r="471" spans="1:8">
      <c r="A471" s="208"/>
      <c r="B471" s="209"/>
      <c r="C471" s="210"/>
      <c r="D471" s="211"/>
      <c r="E471" s="211"/>
      <c r="F471" s="211"/>
      <c r="G471" s="211"/>
      <c r="H471" s="211"/>
    </row>
    <row r="472" spans="1:8">
      <c r="A472" s="208"/>
      <c r="B472" s="209"/>
      <c r="C472" s="210"/>
      <c r="D472" s="211"/>
      <c r="E472" s="211"/>
      <c r="F472" s="211"/>
      <c r="G472" s="211"/>
      <c r="H472" s="211"/>
    </row>
    <row r="473" spans="1:8">
      <c r="A473" s="208"/>
      <c r="B473" s="209"/>
      <c r="C473" s="210"/>
      <c r="D473" s="211"/>
      <c r="E473" s="211"/>
      <c r="F473" s="211"/>
      <c r="G473" s="211"/>
      <c r="H473" s="211"/>
    </row>
    <row r="474" spans="1:8">
      <c r="A474" s="208"/>
      <c r="B474" s="209"/>
      <c r="C474" s="210"/>
      <c r="D474" s="211"/>
      <c r="E474" s="211"/>
      <c r="F474" s="211"/>
      <c r="G474" s="211"/>
      <c r="H474" s="211"/>
    </row>
    <row r="475" spans="1:8">
      <c r="A475" s="208"/>
      <c r="B475" s="209"/>
      <c r="C475" s="210"/>
      <c r="D475" s="211"/>
      <c r="E475" s="211"/>
      <c r="F475" s="211"/>
      <c r="G475" s="211"/>
      <c r="H475" s="211"/>
    </row>
    <row r="476" spans="1:8">
      <c r="A476" s="208"/>
      <c r="B476" s="209"/>
      <c r="C476" s="210"/>
      <c r="D476" s="211"/>
      <c r="E476" s="211"/>
      <c r="F476" s="211"/>
      <c r="G476" s="211"/>
      <c r="H476" s="211"/>
    </row>
    <row r="477" spans="1:8">
      <c r="A477" s="208"/>
      <c r="B477" s="209"/>
      <c r="C477" s="210"/>
      <c r="D477" s="211"/>
      <c r="E477" s="211"/>
      <c r="F477" s="211"/>
      <c r="G477" s="211"/>
      <c r="H477" s="211"/>
    </row>
    <row r="478" spans="1:8">
      <c r="A478" s="208"/>
      <c r="B478" s="209"/>
      <c r="C478" s="210"/>
      <c r="D478" s="211"/>
      <c r="E478" s="211"/>
      <c r="F478" s="211"/>
      <c r="G478" s="211"/>
      <c r="H478" s="211"/>
    </row>
    <row r="479" spans="1:8">
      <c r="A479" s="208"/>
      <c r="B479" s="209"/>
      <c r="C479" s="210"/>
      <c r="D479" s="211"/>
      <c r="E479" s="211"/>
      <c r="F479" s="211"/>
      <c r="G479" s="211"/>
      <c r="H479" s="211"/>
    </row>
    <row r="480" spans="1:8">
      <c r="A480" s="208"/>
      <c r="B480" s="209"/>
      <c r="C480" s="210"/>
      <c r="D480" s="211"/>
      <c r="E480" s="211"/>
      <c r="F480" s="211"/>
      <c r="G480" s="211"/>
      <c r="H480" s="211"/>
    </row>
    <row r="481" spans="1:8">
      <c r="A481" s="208"/>
      <c r="B481" s="209"/>
      <c r="C481" s="210"/>
      <c r="D481" s="211"/>
      <c r="E481" s="211"/>
      <c r="F481" s="211"/>
      <c r="G481" s="211"/>
      <c r="H481" s="211"/>
    </row>
    <row r="482" spans="1:8">
      <c r="A482" s="208"/>
      <c r="B482" s="209"/>
      <c r="C482" s="210"/>
      <c r="D482" s="211"/>
      <c r="E482" s="211"/>
      <c r="F482" s="211"/>
      <c r="G482" s="211"/>
      <c r="H482" s="211"/>
    </row>
    <row r="483" spans="1:8">
      <c r="A483" s="208"/>
      <c r="B483" s="209"/>
      <c r="C483" s="210"/>
      <c r="D483" s="211"/>
      <c r="E483" s="211"/>
      <c r="F483" s="211"/>
      <c r="G483" s="211"/>
      <c r="H483" s="211"/>
    </row>
    <row r="484" spans="1:8">
      <c r="A484" s="208"/>
      <c r="B484" s="209"/>
      <c r="C484" s="210"/>
      <c r="D484" s="211"/>
      <c r="E484" s="211"/>
      <c r="F484" s="211"/>
      <c r="G484" s="211"/>
      <c r="H484" s="211"/>
    </row>
    <row r="485" spans="1:8">
      <c r="A485" s="208"/>
      <c r="B485" s="209"/>
      <c r="C485" s="210"/>
      <c r="D485" s="211"/>
      <c r="E485" s="211"/>
      <c r="F485" s="211"/>
      <c r="G485" s="211"/>
      <c r="H485" s="211"/>
    </row>
    <row r="486" spans="1:8">
      <c r="A486" s="208"/>
      <c r="B486" s="209"/>
      <c r="C486" s="210"/>
      <c r="D486" s="211"/>
      <c r="E486" s="211"/>
      <c r="F486" s="211"/>
      <c r="G486" s="211"/>
      <c r="H486" s="211"/>
    </row>
    <row r="487" spans="1:8">
      <c r="A487" s="208"/>
      <c r="B487" s="209"/>
      <c r="C487" s="210"/>
      <c r="D487" s="211"/>
      <c r="E487" s="211"/>
      <c r="F487" s="211"/>
      <c r="G487" s="211"/>
      <c r="H487" s="211"/>
    </row>
    <row r="488" spans="1:8">
      <c r="A488" s="208"/>
      <c r="B488" s="209"/>
      <c r="C488" s="210"/>
      <c r="D488" s="211"/>
      <c r="E488" s="211"/>
      <c r="F488" s="211"/>
      <c r="G488" s="211"/>
      <c r="H488" s="211"/>
    </row>
    <row r="489" spans="1:8">
      <c r="A489" s="208"/>
      <c r="B489" s="209"/>
      <c r="C489" s="210"/>
      <c r="D489" s="211"/>
      <c r="E489" s="211"/>
      <c r="F489" s="211"/>
      <c r="G489" s="211"/>
      <c r="H489" s="211"/>
    </row>
    <row r="490" spans="1:8">
      <c r="A490" s="208"/>
      <c r="B490" s="209"/>
      <c r="C490" s="210"/>
      <c r="D490" s="211"/>
      <c r="E490" s="211"/>
      <c r="F490" s="211"/>
      <c r="G490" s="211"/>
      <c r="H490" s="211"/>
    </row>
    <row r="491" spans="1:8">
      <c r="A491" s="208"/>
      <c r="B491" s="209"/>
      <c r="C491" s="210"/>
      <c r="D491" s="211"/>
      <c r="E491" s="211"/>
      <c r="F491" s="211"/>
      <c r="G491" s="211"/>
      <c r="H491" s="211"/>
    </row>
    <row r="492" spans="1:8">
      <c r="A492" s="208"/>
      <c r="B492" s="209"/>
      <c r="C492" s="210"/>
      <c r="D492" s="211"/>
      <c r="E492" s="211"/>
      <c r="F492" s="211"/>
      <c r="G492" s="211"/>
      <c r="H492" s="211"/>
    </row>
    <row r="493" spans="1:8">
      <c r="A493" s="208"/>
      <c r="B493" s="209"/>
      <c r="C493" s="210"/>
      <c r="D493" s="211"/>
      <c r="E493" s="211"/>
      <c r="F493" s="211"/>
      <c r="G493" s="211"/>
      <c r="H493" s="211"/>
    </row>
    <row r="494" spans="1:8">
      <c r="A494" s="208"/>
      <c r="B494" s="209"/>
      <c r="C494" s="210"/>
      <c r="D494" s="211"/>
      <c r="E494" s="211"/>
      <c r="F494" s="211"/>
      <c r="G494" s="211"/>
      <c r="H494" s="211"/>
    </row>
    <row r="495" spans="1:8">
      <c r="A495" s="208"/>
      <c r="B495" s="209"/>
      <c r="C495" s="210"/>
      <c r="D495" s="211"/>
      <c r="E495" s="211"/>
      <c r="F495" s="211"/>
      <c r="G495" s="211"/>
      <c r="H495" s="211"/>
    </row>
    <row r="496" spans="1:8">
      <c r="A496" s="208"/>
      <c r="B496" s="209"/>
      <c r="C496" s="210"/>
      <c r="D496" s="211"/>
      <c r="E496" s="211"/>
      <c r="F496" s="211"/>
      <c r="G496" s="211"/>
      <c r="H496" s="211"/>
    </row>
    <row r="497" spans="1:8">
      <c r="A497" s="208"/>
      <c r="B497" s="209"/>
      <c r="C497" s="210"/>
      <c r="D497" s="211"/>
      <c r="E497" s="211"/>
      <c r="F497" s="211"/>
      <c r="G497" s="211"/>
      <c r="H497" s="211"/>
    </row>
    <row r="498" spans="1:8">
      <c r="A498" s="208"/>
      <c r="B498" s="209"/>
      <c r="C498" s="210"/>
      <c r="D498" s="211"/>
      <c r="E498" s="211"/>
      <c r="F498" s="211"/>
      <c r="G498" s="211"/>
      <c r="H498" s="211"/>
    </row>
    <row r="499" spans="1:8">
      <c r="A499" s="208"/>
      <c r="B499" s="209"/>
      <c r="C499" s="210"/>
      <c r="D499" s="211"/>
      <c r="E499" s="211"/>
      <c r="F499" s="211"/>
      <c r="G499" s="211"/>
      <c r="H499" s="211"/>
    </row>
    <row r="500" spans="1:8">
      <c r="A500" s="208"/>
      <c r="B500" s="209"/>
      <c r="C500" s="210"/>
      <c r="D500" s="211"/>
      <c r="E500" s="211"/>
      <c r="F500" s="211"/>
      <c r="G500" s="211"/>
      <c r="H500" s="211"/>
    </row>
    <row r="501" spans="1:8">
      <c r="A501" s="208"/>
      <c r="B501" s="209"/>
      <c r="C501" s="210"/>
      <c r="D501" s="211"/>
      <c r="E501" s="211"/>
      <c r="F501" s="211"/>
      <c r="G501" s="211"/>
      <c r="H501" s="211"/>
    </row>
    <row r="502" spans="1:8">
      <c r="A502" s="208"/>
      <c r="B502" s="209"/>
      <c r="C502" s="210"/>
      <c r="D502" s="211"/>
      <c r="E502" s="211"/>
      <c r="F502" s="211"/>
      <c r="G502" s="211"/>
      <c r="H502" s="211"/>
    </row>
    <row r="503" spans="1:8">
      <c r="A503" s="208"/>
      <c r="B503" s="209"/>
      <c r="C503" s="210"/>
      <c r="D503" s="211"/>
      <c r="E503" s="211"/>
      <c r="F503" s="211"/>
      <c r="G503" s="211"/>
      <c r="H503" s="211"/>
    </row>
    <row r="504" spans="1:8">
      <c r="A504" s="208"/>
      <c r="B504" s="209"/>
      <c r="C504" s="210"/>
      <c r="D504" s="211"/>
      <c r="E504" s="211"/>
      <c r="F504" s="211"/>
      <c r="G504" s="211"/>
      <c r="H504" s="211"/>
    </row>
    <row r="505" spans="1:8">
      <c r="A505" s="208"/>
      <c r="B505" s="209"/>
      <c r="C505" s="210"/>
      <c r="D505" s="211"/>
      <c r="E505" s="211"/>
      <c r="F505" s="211"/>
      <c r="G505" s="211"/>
      <c r="H505" s="211"/>
    </row>
    <row r="506" spans="1:8">
      <c r="A506" s="208"/>
      <c r="B506" s="209"/>
      <c r="C506" s="210"/>
      <c r="D506" s="211"/>
      <c r="E506" s="211"/>
      <c r="F506" s="211"/>
      <c r="G506" s="211"/>
      <c r="H506" s="211"/>
    </row>
    <row r="507" spans="1:8">
      <c r="A507" s="208"/>
      <c r="B507" s="209"/>
      <c r="C507" s="210"/>
      <c r="D507" s="211"/>
      <c r="E507" s="211"/>
      <c r="F507" s="211"/>
      <c r="G507" s="211"/>
      <c r="H507" s="211"/>
    </row>
    <row r="508" spans="1:8">
      <c r="A508" s="208"/>
      <c r="B508" s="209"/>
      <c r="C508" s="210"/>
      <c r="D508" s="211"/>
      <c r="E508" s="211"/>
      <c r="F508" s="211"/>
      <c r="G508" s="211"/>
      <c r="H508" s="211"/>
    </row>
    <row r="509" spans="1:8">
      <c r="A509" s="212"/>
      <c r="B509" s="213"/>
      <c r="C509" s="214"/>
      <c r="D509" s="215"/>
      <c r="E509" s="215"/>
      <c r="F509" s="215"/>
      <c r="G509" s="215"/>
      <c r="H509" s="215"/>
    </row>
    <row r="510" spans="1:8">
      <c r="A510" s="212"/>
      <c r="B510" s="213"/>
      <c r="C510" s="214"/>
      <c r="D510" s="215"/>
      <c r="E510" s="215"/>
      <c r="F510" s="215"/>
      <c r="G510" s="215"/>
      <c r="H510" s="215"/>
    </row>
    <row r="511" spans="1:8">
      <c r="A511" s="212"/>
      <c r="B511" s="213"/>
      <c r="C511" s="214"/>
      <c r="D511" s="215"/>
      <c r="E511" s="215"/>
      <c r="F511" s="215"/>
      <c r="G511" s="215"/>
      <c r="H511" s="215"/>
    </row>
    <row r="512" spans="1:8">
      <c r="A512" s="212"/>
      <c r="B512" s="213"/>
      <c r="C512" s="214"/>
      <c r="D512" s="215"/>
      <c r="E512" s="215"/>
      <c r="F512" s="215"/>
      <c r="G512" s="215"/>
      <c r="H512" s="215"/>
    </row>
    <row r="513" spans="1:8">
      <c r="A513" s="212"/>
      <c r="B513" s="213"/>
      <c r="C513" s="214"/>
      <c r="D513" s="215"/>
      <c r="E513" s="215"/>
      <c r="F513" s="215"/>
      <c r="G513" s="215"/>
      <c r="H513" s="215"/>
    </row>
    <row r="514" spans="1:8">
      <c r="A514" s="212"/>
      <c r="B514" s="213"/>
      <c r="C514" s="214"/>
      <c r="D514" s="215"/>
      <c r="E514" s="215"/>
      <c r="F514" s="215"/>
      <c r="G514" s="215"/>
      <c r="H514" s="215"/>
    </row>
    <row r="515" spans="1:8">
      <c r="A515" s="212"/>
      <c r="B515" s="213"/>
      <c r="C515" s="214"/>
      <c r="D515" s="215"/>
      <c r="E515" s="215"/>
      <c r="F515" s="215"/>
      <c r="G515" s="215"/>
      <c r="H515" s="215"/>
    </row>
    <row r="516" spans="1:8">
      <c r="A516" s="212"/>
      <c r="B516" s="213"/>
      <c r="C516" s="214"/>
      <c r="D516" s="215"/>
      <c r="E516" s="215"/>
      <c r="F516" s="215"/>
      <c r="G516" s="215"/>
      <c r="H516" s="215"/>
    </row>
    <row r="517" spans="1:8">
      <c r="A517" s="212"/>
      <c r="B517" s="213"/>
      <c r="C517" s="214"/>
      <c r="D517" s="215"/>
      <c r="E517" s="215"/>
      <c r="F517" s="215"/>
      <c r="G517" s="215"/>
      <c r="H517" s="215"/>
    </row>
    <row r="518" spans="1:8">
      <c r="A518" s="212"/>
      <c r="B518" s="213"/>
      <c r="C518" s="214"/>
      <c r="D518" s="215"/>
      <c r="E518" s="215"/>
      <c r="F518" s="215"/>
      <c r="G518" s="215"/>
      <c r="H518" s="215"/>
    </row>
    <row r="519" spans="1:8">
      <c r="A519" s="212"/>
      <c r="B519" s="213"/>
      <c r="C519" s="214"/>
      <c r="D519" s="215"/>
      <c r="E519" s="215"/>
      <c r="F519" s="215"/>
      <c r="G519" s="215"/>
      <c r="H519" s="215"/>
    </row>
    <row r="520" spans="1:8">
      <c r="A520" s="212"/>
      <c r="B520" s="213"/>
      <c r="C520" s="214"/>
      <c r="D520" s="215"/>
      <c r="E520" s="215"/>
      <c r="F520" s="215"/>
      <c r="G520" s="215"/>
      <c r="H520" s="215"/>
    </row>
    <row r="521" spans="1:8">
      <c r="A521" s="212"/>
      <c r="B521" s="213"/>
      <c r="C521" s="214"/>
      <c r="D521" s="215"/>
      <c r="E521" s="215"/>
      <c r="F521" s="215"/>
      <c r="G521" s="215"/>
      <c r="H521" s="215"/>
    </row>
    <row r="522" spans="1:8">
      <c r="A522" s="212"/>
      <c r="B522" s="213"/>
      <c r="C522" s="214"/>
      <c r="D522" s="215"/>
      <c r="E522" s="215"/>
      <c r="F522" s="215"/>
      <c r="G522" s="215"/>
      <c r="H522" s="215"/>
    </row>
    <row r="523" spans="1:8">
      <c r="A523" s="212"/>
      <c r="B523" s="213"/>
      <c r="C523" s="214"/>
      <c r="D523" s="215"/>
      <c r="E523" s="215"/>
      <c r="F523" s="215"/>
      <c r="G523" s="215"/>
      <c r="H523" s="215"/>
    </row>
    <row r="524" spans="1:8">
      <c r="A524" s="212"/>
      <c r="B524" s="213"/>
      <c r="C524" s="214"/>
      <c r="D524" s="215"/>
      <c r="E524" s="215"/>
      <c r="F524" s="215"/>
      <c r="G524" s="215"/>
      <c r="H524" s="215"/>
    </row>
    <row r="525" spans="1:8">
      <c r="A525" s="212"/>
      <c r="B525" s="213"/>
      <c r="C525" s="214"/>
      <c r="D525" s="215"/>
      <c r="E525" s="215"/>
      <c r="F525" s="215"/>
      <c r="G525" s="215"/>
      <c r="H525" s="215"/>
    </row>
    <row r="526" spans="1:8">
      <c r="A526" s="212"/>
      <c r="B526" s="213"/>
      <c r="C526" s="214"/>
      <c r="D526" s="215"/>
      <c r="E526" s="215"/>
      <c r="F526" s="215"/>
      <c r="G526" s="215"/>
      <c r="H526" s="215"/>
    </row>
    <row r="527" spans="1:8">
      <c r="A527" s="212"/>
      <c r="B527" s="213"/>
      <c r="C527" s="214"/>
      <c r="D527" s="215"/>
      <c r="E527" s="215"/>
      <c r="F527" s="215"/>
      <c r="G527" s="215"/>
      <c r="H527" s="215"/>
    </row>
    <row r="528" spans="1:8">
      <c r="A528" s="212"/>
      <c r="B528" s="213"/>
      <c r="C528" s="213"/>
      <c r="D528" s="215"/>
      <c r="E528" s="215"/>
      <c r="F528" s="215"/>
      <c r="G528" s="215"/>
      <c r="H528" s="215"/>
    </row>
    <row r="529" spans="1:8">
      <c r="A529" s="212"/>
      <c r="B529" s="213"/>
      <c r="C529" s="213"/>
      <c r="D529" s="215"/>
      <c r="E529" s="215"/>
      <c r="F529" s="215"/>
      <c r="G529" s="215"/>
      <c r="H529" s="215"/>
    </row>
    <row r="530" spans="1:8">
      <c r="A530" s="212"/>
      <c r="B530" s="213"/>
      <c r="C530" s="213"/>
      <c r="D530" s="215"/>
      <c r="E530" s="215"/>
      <c r="F530" s="215"/>
      <c r="G530" s="215"/>
      <c r="H530" s="215"/>
    </row>
    <row r="531" spans="1:8">
      <c r="A531" s="212"/>
      <c r="B531" s="213"/>
      <c r="C531" s="213"/>
      <c r="D531" s="215"/>
      <c r="E531" s="215"/>
      <c r="F531" s="215"/>
      <c r="G531" s="215"/>
      <c r="H531" s="215"/>
    </row>
    <row r="532" spans="1:8">
      <c r="A532" s="212"/>
      <c r="B532" s="213"/>
      <c r="C532" s="213"/>
      <c r="D532" s="215"/>
      <c r="E532" s="215"/>
      <c r="F532" s="215"/>
      <c r="G532" s="215"/>
      <c r="H532" s="215"/>
    </row>
    <row r="533" spans="1:8">
      <c r="A533" s="212"/>
      <c r="B533" s="213"/>
      <c r="C533" s="213"/>
      <c r="D533" s="215"/>
      <c r="E533" s="215"/>
      <c r="F533" s="215"/>
      <c r="G533" s="215"/>
      <c r="H533" s="215"/>
    </row>
    <row r="534" spans="1:8">
      <c r="A534" s="212"/>
      <c r="B534" s="213"/>
      <c r="C534" s="213"/>
      <c r="D534" s="215"/>
      <c r="E534" s="215"/>
      <c r="F534" s="215"/>
      <c r="G534" s="215"/>
      <c r="H534" s="215"/>
    </row>
    <row r="535" spans="1:8">
      <c r="A535" s="212"/>
      <c r="B535" s="213"/>
      <c r="C535" s="213"/>
      <c r="D535" s="215"/>
      <c r="E535" s="215"/>
      <c r="F535" s="215"/>
      <c r="G535" s="215"/>
      <c r="H535" s="215"/>
    </row>
    <row r="536" spans="1:8">
      <c r="A536" s="212"/>
      <c r="B536" s="213"/>
      <c r="C536" s="213"/>
      <c r="D536" s="215"/>
      <c r="E536" s="215"/>
      <c r="F536" s="215"/>
      <c r="G536" s="215"/>
      <c r="H536" s="215"/>
    </row>
    <row r="537" spans="1:8">
      <c r="A537" s="212"/>
      <c r="B537" s="213"/>
      <c r="C537" s="213"/>
      <c r="D537" s="215"/>
      <c r="E537" s="215"/>
      <c r="F537" s="215"/>
      <c r="G537" s="215"/>
      <c r="H537" s="215"/>
    </row>
    <row r="538" spans="1:8">
      <c r="A538" s="212"/>
      <c r="B538" s="213"/>
      <c r="C538" s="213"/>
      <c r="D538" s="215"/>
      <c r="E538" s="215"/>
      <c r="F538" s="215"/>
      <c r="G538" s="215"/>
      <c r="H538" s="215"/>
    </row>
    <row r="539" spans="1:8">
      <c r="A539" s="212"/>
      <c r="B539" s="213"/>
      <c r="C539" s="213"/>
      <c r="D539" s="215"/>
      <c r="E539" s="215"/>
      <c r="F539" s="215"/>
      <c r="G539" s="215"/>
      <c r="H539" s="215"/>
    </row>
    <row r="540" spans="1:8">
      <c r="A540" s="212"/>
      <c r="B540" s="213"/>
      <c r="C540" s="213"/>
      <c r="D540" s="215"/>
      <c r="E540" s="215"/>
      <c r="F540" s="215"/>
      <c r="G540" s="215"/>
      <c r="H540" s="215"/>
    </row>
    <row r="541" spans="1:8">
      <c r="A541" s="212"/>
      <c r="B541" s="213"/>
      <c r="C541" s="213"/>
      <c r="D541" s="215"/>
      <c r="E541" s="215"/>
      <c r="F541" s="215"/>
      <c r="G541" s="215"/>
      <c r="H541" s="215"/>
    </row>
    <row r="542" spans="1:8">
      <c r="A542" s="212"/>
      <c r="B542" s="213"/>
      <c r="C542" s="213"/>
      <c r="D542" s="215"/>
      <c r="E542" s="215"/>
      <c r="F542" s="215"/>
      <c r="G542" s="215"/>
      <c r="H542" s="215"/>
    </row>
    <row r="543" spans="1:8">
      <c r="A543" s="212"/>
      <c r="B543" s="213"/>
      <c r="C543" s="213"/>
      <c r="D543" s="215"/>
      <c r="E543" s="215"/>
      <c r="F543" s="215"/>
      <c r="G543" s="215"/>
      <c r="H543" s="215"/>
    </row>
    <row r="544" spans="1:8">
      <c r="A544" s="212"/>
      <c r="B544" s="213"/>
      <c r="C544" s="213"/>
      <c r="D544" s="215"/>
      <c r="E544" s="215"/>
      <c r="F544" s="215"/>
      <c r="G544" s="215"/>
      <c r="H544" s="215"/>
    </row>
    <row r="545" spans="1:8">
      <c r="A545" s="212"/>
      <c r="B545" s="213"/>
      <c r="C545" s="213"/>
      <c r="D545" s="215"/>
      <c r="E545" s="215"/>
      <c r="F545" s="215"/>
      <c r="G545" s="215"/>
      <c r="H545" s="215"/>
    </row>
    <row r="546" spans="1:8">
      <c r="A546" s="212"/>
      <c r="B546" s="213"/>
      <c r="C546" s="213"/>
      <c r="D546" s="215"/>
      <c r="E546" s="215"/>
      <c r="F546" s="215"/>
      <c r="G546" s="215"/>
      <c r="H546" s="215"/>
    </row>
    <row r="547" spans="1:8">
      <c r="A547" s="212"/>
      <c r="B547" s="213"/>
      <c r="C547" s="213"/>
      <c r="D547" s="215"/>
      <c r="E547" s="215"/>
      <c r="F547" s="215"/>
      <c r="G547" s="215"/>
      <c r="H547" s="215"/>
    </row>
    <row r="548" spans="1:8">
      <c r="A548" s="212"/>
      <c r="B548" s="213"/>
      <c r="C548" s="213"/>
      <c r="D548" s="215"/>
      <c r="E548" s="215"/>
      <c r="F548" s="215"/>
      <c r="G548" s="215"/>
      <c r="H548" s="215"/>
    </row>
    <row r="549" spans="1:8">
      <c r="A549" s="212"/>
      <c r="B549" s="213"/>
      <c r="C549" s="213"/>
      <c r="D549" s="215"/>
      <c r="E549" s="215"/>
      <c r="F549" s="215"/>
      <c r="G549" s="215"/>
      <c r="H549" s="215"/>
    </row>
    <row r="550" spans="1:8">
      <c r="A550" s="212"/>
      <c r="B550" s="213"/>
      <c r="C550" s="213"/>
      <c r="D550" s="215"/>
      <c r="E550" s="215"/>
      <c r="F550" s="215"/>
      <c r="G550" s="215"/>
      <c r="H550" s="215"/>
    </row>
    <row r="551" spans="1:8">
      <c r="A551" s="212"/>
      <c r="B551" s="213"/>
      <c r="C551" s="213"/>
      <c r="D551" s="215"/>
      <c r="E551" s="215"/>
      <c r="F551" s="215"/>
      <c r="G551" s="215"/>
      <c r="H551" s="215"/>
    </row>
    <row r="552" spans="1:8">
      <c r="A552" s="212"/>
      <c r="B552" s="213"/>
      <c r="C552" s="213"/>
      <c r="D552" s="215"/>
      <c r="E552" s="215"/>
      <c r="F552" s="215"/>
      <c r="G552" s="215"/>
      <c r="H552" s="215"/>
    </row>
    <row r="553" spans="1:8">
      <c r="A553" s="212"/>
      <c r="B553" s="213"/>
      <c r="C553" s="213"/>
      <c r="D553" s="215"/>
      <c r="E553" s="215"/>
      <c r="F553" s="215"/>
      <c r="G553" s="215"/>
      <c r="H553" s="215"/>
    </row>
    <row r="554" spans="1:8">
      <c r="A554" s="212"/>
      <c r="B554" s="213"/>
      <c r="C554" s="213"/>
      <c r="D554" s="215"/>
      <c r="E554" s="215"/>
      <c r="F554" s="215"/>
      <c r="G554" s="215"/>
      <c r="H554" s="215"/>
    </row>
    <row r="555" spans="1:8">
      <c r="A555" s="212"/>
      <c r="B555" s="213"/>
      <c r="C555" s="213"/>
      <c r="D555" s="215"/>
      <c r="E555" s="215"/>
      <c r="F555" s="215"/>
      <c r="G555" s="215"/>
      <c r="H555" s="215"/>
    </row>
    <row r="556" spans="1:8">
      <c r="A556" s="212"/>
      <c r="B556" s="213"/>
      <c r="C556" s="213"/>
      <c r="D556" s="215"/>
      <c r="E556" s="215"/>
      <c r="F556" s="215"/>
      <c r="G556" s="215"/>
      <c r="H556" s="215"/>
    </row>
    <row r="557" spans="1:8">
      <c r="A557" s="212"/>
      <c r="B557" s="213"/>
      <c r="C557" s="213"/>
      <c r="D557" s="215"/>
      <c r="E557" s="215"/>
      <c r="F557" s="215"/>
      <c r="G557" s="215"/>
      <c r="H557" s="215"/>
    </row>
    <row r="558" spans="1:8">
      <c r="A558" s="212"/>
      <c r="B558" s="213"/>
      <c r="C558" s="213"/>
      <c r="D558" s="215"/>
      <c r="E558" s="215"/>
      <c r="F558" s="215"/>
      <c r="G558" s="215"/>
      <c r="H558" s="215"/>
    </row>
    <row r="559" spans="1:8">
      <c r="A559" s="212"/>
      <c r="B559" s="213"/>
      <c r="C559" s="213"/>
      <c r="D559" s="215"/>
      <c r="E559" s="215"/>
      <c r="F559" s="215"/>
      <c r="G559" s="215"/>
      <c r="H559" s="215"/>
    </row>
    <row r="560" spans="1:8">
      <c r="A560" s="212"/>
      <c r="B560" s="213"/>
      <c r="C560" s="213"/>
      <c r="D560" s="215"/>
      <c r="E560" s="215"/>
      <c r="F560" s="215"/>
      <c r="G560" s="215"/>
      <c r="H560" s="215"/>
    </row>
    <row r="561" spans="1:8">
      <c r="A561" s="212"/>
      <c r="B561" s="213"/>
      <c r="C561" s="213"/>
      <c r="D561" s="215"/>
      <c r="E561" s="215"/>
      <c r="F561" s="215"/>
      <c r="G561" s="215"/>
      <c r="H561" s="215"/>
    </row>
    <row r="562" spans="1:8">
      <c r="A562" s="212"/>
      <c r="B562" s="213"/>
      <c r="C562" s="213"/>
      <c r="D562" s="215"/>
      <c r="E562" s="215"/>
      <c r="F562" s="215"/>
      <c r="G562" s="215"/>
      <c r="H562" s="215"/>
    </row>
    <row r="563" spans="1:8">
      <c r="A563" s="212"/>
      <c r="B563" s="213"/>
      <c r="C563" s="213"/>
      <c r="D563" s="215"/>
      <c r="E563" s="215"/>
      <c r="F563" s="215"/>
      <c r="G563" s="215"/>
      <c r="H563" s="215"/>
    </row>
    <row r="564" spans="1:8">
      <c r="A564" s="212"/>
      <c r="B564" s="213"/>
      <c r="C564" s="213"/>
      <c r="D564" s="215"/>
      <c r="E564" s="215"/>
      <c r="F564" s="215"/>
      <c r="G564" s="215"/>
      <c r="H564" s="215"/>
    </row>
    <row r="565" spans="1:8">
      <c r="A565" s="212"/>
      <c r="B565" s="213"/>
      <c r="C565" s="213"/>
      <c r="D565" s="215"/>
      <c r="E565" s="215"/>
      <c r="F565" s="215"/>
      <c r="G565" s="215"/>
      <c r="H565" s="215"/>
    </row>
    <row r="566" spans="1:8">
      <c r="A566" s="212"/>
      <c r="B566" s="213"/>
      <c r="C566" s="213"/>
      <c r="D566" s="215"/>
      <c r="E566" s="215"/>
      <c r="F566" s="215"/>
      <c r="G566" s="215"/>
      <c r="H566" s="215"/>
    </row>
    <row r="567" spans="1:8">
      <c r="A567" s="212"/>
      <c r="B567" s="213"/>
      <c r="C567" s="213"/>
      <c r="D567" s="215"/>
      <c r="E567" s="215"/>
      <c r="F567" s="215"/>
      <c r="G567" s="215"/>
      <c r="H567" s="215"/>
    </row>
    <row r="568" spans="1:8">
      <c r="A568" s="212"/>
      <c r="B568" s="213"/>
      <c r="C568" s="213"/>
      <c r="D568" s="215"/>
      <c r="E568" s="215"/>
      <c r="F568" s="215"/>
      <c r="G568" s="215"/>
      <c r="H568" s="215"/>
    </row>
    <row r="569" spans="1:8">
      <c r="A569" s="212"/>
      <c r="B569" s="213"/>
      <c r="C569" s="213"/>
      <c r="D569" s="215"/>
      <c r="E569" s="215"/>
      <c r="F569" s="215"/>
      <c r="G569" s="215"/>
      <c r="H569" s="215"/>
    </row>
    <row r="570" spans="1:8">
      <c r="A570" s="212"/>
      <c r="B570" s="213"/>
      <c r="C570" s="213"/>
      <c r="D570" s="215"/>
      <c r="E570" s="215"/>
      <c r="F570" s="215"/>
      <c r="G570" s="215"/>
      <c r="H570" s="215"/>
    </row>
    <row r="571" spans="1:8">
      <c r="A571" s="212"/>
      <c r="B571" s="213"/>
      <c r="C571" s="213"/>
      <c r="D571" s="215"/>
      <c r="E571" s="215"/>
      <c r="F571" s="215"/>
      <c r="G571" s="215"/>
      <c r="H571" s="215"/>
    </row>
    <row r="572" spans="1:8">
      <c r="A572" s="212"/>
      <c r="B572" s="213"/>
      <c r="C572" s="213"/>
      <c r="D572" s="213"/>
      <c r="E572" s="213"/>
      <c r="F572" s="213"/>
      <c r="G572" s="213"/>
      <c r="H572" s="213"/>
    </row>
    <row r="573" spans="1:8">
      <c r="A573" s="212"/>
      <c r="B573" s="213"/>
      <c r="C573" s="213"/>
      <c r="D573" s="213"/>
      <c r="E573" s="213"/>
      <c r="F573" s="213"/>
      <c r="G573" s="213"/>
      <c r="H573" s="213"/>
    </row>
    <row r="574" spans="1:8">
      <c r="A574" s="212"/>
      <c r="B574" s="213"/>
      <c r="C574" s="213"/>
      <c r="D574" s="213"/>
      <c r="E574" s="213"/>
      <c r="F574" s="213"/>
      <c r="G574" s="213"/>
      <c r="H574" s="213"/>
    </row>
    <row r="575" spans="1:8">
      <c r="A575" s="212"/>
      <c r="B575" s="213"/>
      <c r="C575" s="213"/>
      <c r="D575" s="213"/>
      <c r="E575" s="213"/>
      <c r="F575" s="213"/>
      <c r="G575" s="213"/>
      <c r="H575" s="213"/>
    </row>
    <row r="576" spans="1:8">
      <c r="A576" s="212"/>
      <c r="B576" s="213"/>
      <c r="C576" s="213"/>
      <c r="D576" s="213"/>
      <c r="E576" s="213"/>
      <c r="F576" s="213"/>
      <c r="G576" s="213"/>
      <c r="H576" s="213"/>
    </row>
    <row r="577" spans="1:8">
      <c r="A577" s="212"/>
      <c r="B577" s="213"/>
      <c r="C577" s="213"/>
      <c r="D577" s="213"/>
      <c r="E577" s="213"/>
      <c r="F577" s="213"/>
      <c r="G577" s="213"/>
      <c r="H577" s="213"/>
    </row>
    <row r="578" spans="1:8">
      <c r="A578" s="212"/>
      <c r="B578" s="213"/>
      <c r="C578" s="213"/>
      <c r="D578" s="213"/>
      <c r="E578" s="213"/>
      <c r="F578" s="213"/>
      <c r="G578" s="213"/>
      <c r="H578" s="213"/>
    </row>
    <row r="579" spans="1:8">
      <c r="A579" s="212"/>
      <c r="B579" s="213"/>
      <c r="C579" s="213"/>
      <c r="D579" s="213"/>
      <c r="E579" s="213"/>
      <c r="F579" s="213"/>
      <c r="G579" s="213"/>
      <c r="H579" s="213"/>
    </row>
    <row r="580" spans="1:8">
      <c r="A580" s="212"/>
      <c r="B580" s="213"/>
      <c r="C580" s="213"/>
      <c r="D580" s="213"/>
      <c r="E580" s="213"/>
      <c r="F580" s="213"/>
      <c r="G580" s="213"/>
      <c r="H580" s="213"/>
    </row>
    <row r="581" spans="1:8">
      <c r="A581" s="212"/>
      <c r="B581" s="213"/>
      <c r="C581" s="213"/>
      <c r="D581" s="213"/>
      <c r="E581" s="213"/>
      <c r="F581" s="213"/>
      <c r="G581" s="213"/>
      <c r="H581" s="213"/>
    </row>
    <row r="582" spans="1:8">
      <c r="A582" s="212"/>
      <c r="B582" s="213"/>
      <c r="C582" s="213"/>
      <c r="D582" s="213"/>
      <c r="E582" s="213"/>
      <c r="F582" s="213"/>
      <c r="G582" s="213"/>
      <c r="H582" s="213"/>
    </row>
    <row r="583" spans="1:8">
      <c r="A583" s="212"/>
      <c r="B583" s="213"/>
      <c r="C583" s="213"/>
      <c r="D583" s="213"/>
      <c r="E583" s="213"/>
      <c r="F583" s="213"/>
      <c r="G583" s="213"/>
      <c r="H583" s="213"/>
    </row>
    <row r="584" spans="1:8">
      <c r="A584" s="212"/>
      <c r="B584" s="213"/>
      <c r="C584" s="213"/>
      <c r="D584" s="213"/>
      <c r="E584" s="213"/>
      <c r="F584" s="213"/>
      <c r="G584" s="213"/>
      <c r="H584" s="213"/>
    </row>
    <row r="585" spans="1:8">
      <c r="A585" s="212"/>
      <c r="B585" s="213"/>
      <c r="C585" s="213"/>
      <c r="D585" s="213"/>
      <c r="E585" s="213"/>
      <c r="F585" s="213"/>
      <c r="G585" s="213"/>
      <c r="H585" s="213"/>
    </row>
    <row r="586" spans="1:8">
      <c r="A586" s="212"/>
      <c r="B586" s="213"/>
      <c r="C586" s="213"/>
      <c r="D586" s="213"/>
      <c r="E586" s="213"/>
      <c r="F586" s="213"/>
      <c r="G586" s="213"/>
      <c r="H586" s="213"/>
    </row>
    <row r="587" spans="1:8">
      <c r="A587" s="212"/>
      <c r="B587" s="213"/>
      <c r="C587" s="213"/>
      <c r="D587" s="213"/>
      <c r="E587" s="213"/>
      <c r="F587" s="213"/>
      <c r="G587" s="213"/>
      <c r="H587" s="213"/>
    </row>
    <row r="588" spans="1:8">
      <c r="A588" s="212"/>
      <c r="B588" s="213"/>
      <c r="C588" s="213"/>
      <c r="D588" s="213"/>
      <c r="E588" s="213"/>
      <c r="F588" s="213"/>
      <c r="G588" s="213"/>
      <c r="H588" s="213"/>
    </row>
    <row r="589" spans="1:8">
      <c r="A589" s="212"/>
      <c r="B589" s="213"/>
      <c r="C589" s="213"/>
      <c r="D589" s="213"/>
      <c r="E589" s="213"/>
      <c r="F589" s="213"/>
      <c r="G589" s="213"/>
      <c r="H589" s="213"/>
    </row>
    <row r="590" spans="1:8">
      <c r="A590" s="212"/>
      <c r="B590" s="213"/>
      <c r="C590" s="213"/>
      <c r="D590" s="213"/>
      <c r="E590" s="213"/>
      <c r="F590" s="213"/>
      <c r="G590" s="213"/>
      <c r="H590" s="213"/>
    </row>
    <row r="591" spans="1:8">
      <c r="A591" s="212"/>
      <c r="B591" s="213"/>
      <c r="C591" s="213"/>
      <c r="D591" s="213"/>
      <c r="E591" s="213"/>
      <c r="F591" s="213"/>
      <c r="G591" s="213"/>
      <c r="H591" s="213"/>
    </row>
    <row r="592" spans="1:8">
      <c r="A592" s="212"/>
      <c r="B592" s="213"/>
      <c r="C592" s="213"/>
      <c r="D592" s="213"/>
      <c r="E592" s="213"/>
      <c r="F592" s="213"/>
      <c r="G592" s="213"/>
      <c r="H592" s="213"/>
    </row>
    <row r="593" spans="1:8">
      <c r="A593" s="212"/>
      <c r="B593" s="213"/>
      <c r="C593" s="213"/>
      <c r="D593" s="213"/>
      <c r="E593" s="213"/>
      <c r="F593" s="213"/>
      <c r="G593" s="213"/>
      <c r="H593" s="213"/>
    </row>
    <row r="594" spans="1:8">
      <c r="A594" s="212"/>
      <c r="B594" s="213"/>
      <c r="C594" s="213"/>
      <c r="D594" s="213"/>
      <c r="E594" s="213"/>
      <c r="F594" s="213"/>
      <c r="G594" s="213"/>
      <c r="H594" s="213"/>
    </row>
    <row r="595" spans="1:8">
      <c r="A595" s="212"/>
      <c r="B595" s="213"/>
      <c r="C595" s="213"/>
      <c r="D595" s="213"/>
      <c r="E595" s="213"/>
      <c r="F595" s="213"/>
      <c r="G595" s="213"/>
      <c r="H595" s="213"/>
    </row>
    <row r="596" spans="1:8">
      <c r="A596" s="212"/>
      <c r="B596" s="213"/>
      <c r="C596" s="213"/>
      <c r="D596" s="213"/>
      <c r="E596" s="213"/>
      <c r="F596" s="213"/>
      <c r="G596" s="213"/>
      <c r="H596" s="213"/>
    </row>
    <row r="597" spans="1:8">
      <c r="A597" s="212"/>
      <c r="B597" s="213"/>
      <c r="C597" s="213"/>
      <c r="D597" s="213"/>
      <c r="E597" s="213"/>
      <c r="F597" s="213"/>
      <c r="G597" s="213"/>
      <c r="H597" s="213"/>
    </row>
    <row r="598" spans="1:8">
      <c r="A598" s="212"/>
      <c r="B598" s="213"/>
      <c r="C598" s="213"/>
      <c r="D598" s="213"/>
      <c r="E598" s="213"/>
      <c r="F598" s="213"/>
      <c r="G598" s="213"/>
      <c r="H598" s="213"/>
    </row>
    <row r="599" spans="1:8">
      <c r="A599" s="212"/>
      <c r="B599" s="213"/>
      <c r="C599" s="213"/>
      <c r="D599" s="213"/>
      <c r="E599" s="213"/>
      <c r="F599" s="213"/>
      <c r="G599" s="213"/>
      <c r="H599" s="213"/>
    </row>
    <row r="600" spans="1:8">
      <c r="A600" s="212"/>
      <c r="B600" s="213"/>
      <c r="C600" s="213"/>
      <c r="D600" s="213"/>
      <c r="E600" s="213"/>
      <c r="F600" s="213"/>
      <c r="G600" s="213"/>
      <c r="H600" s="213"/>
    </row>
    <row r="601" spans="1:8">
      <c r="A601" s="212"/>
      <c r="B601" s="213"/>
      <c r="C601" s="213"/>
      <c r="D601" s="213"/>
      <c r="E601" s="213"/>
      <c r="F601" s="213"/>
      <c r="G601" s="213"/>
      <c r="H601" s="213"/>
    </row>
    <row r="602" spans="1:8">
      <c r="A602" s="212"/>
      <c r="B602" s="213"/>
      <c r="C602" s="213"/>
      <c r="D602" s="213"/>
      <c r="E602" s="213"/>
      <c r="F602" s="213"/>
      <c r="G602" s="213"/>
      <c r="H602" s="213"/>
    </row>
    <row r="603" spans="1:8">
      <c r="A603" s="212"/>
      <c r="B603" s="213"/>
      <c r="C603" s="213"/>
      <c r="D603" s="213"/>
      <c r="E603" s="213"/>
      <c r="F603" s="213"/>
      <c r="G603" s="213"/>
      <c r="H603" s="213"/>
    </row>
    <row r="604" spans="1:8">
      <c r="A604" s="212"/>
      <c r="B604" s="213"/>
      <c r="C604" s="213"/>
      <c r="D604" s="213"/>
      <c r="E604" s="213"/>
      <c r="F604" s="213"/>
      <c r="G604" s="213"/>
      <c r="H604" s="213"/>
    </row>
    <row r="605" spans="1:8">
      <c r="A605" s="212"/>
      <c r="B605" s="213"/>
      <c r="C605" s="213"/>
      <c r="D605" s="213"/>
      <c r="E605" s="213"/>
      <c r="F605" s="213"/>
      <c r="G605" s="213"/>
      <c r="H605" s="213"/>
    </row>
    <row r="606" spans="1:8">
      <c r="A606" s="212"/>
      <c r="B606" s="213"/>
      <c r="C606" s="213"/>
      <c r="D606" s="213"/>
      <c r="E606" s="213"/>
      <c r="F606" s="213"/>
      <c r="G606" s="213"/>
      <c r="H606" s="213"/>
    </row>
    <row r="607" spans="1:8">
      <c r="A607" s="212"/>
      <c r="B607" s="213"/>
      <c r="C607" s="213"/>
      <c r="D607" s="213"/>
      <c r="E607" s="213"/>
      <c r="F607" s="213"/>
      <c r="G607" s="213"/>
      <c r="H607" s="213"/>
    </row>
    <row r="608" spans="1:8">
      <c r="A608" s="212"/>
      <c r="B608" s="213"/>
      <c r="C608" s="213"/>
      <c r="D608" s="213"/>
      <c r="E608" s="213"/>
      <c r="F608" s="213"/>
      <c r="G608" s="213"/>
      <c r="H608" s="213"/>
    </row>
    <row r="609" spans="1:8">
      <c r="A609" s="212"/>
      <c r="B609" s="213"/>
      <c r="C609" s="213"/>
      <c r="D609" s="213"/>
      <c r="E609" s="213"/>
      <c r="F609" s="213"/>
      <c r="G609" s="213"/>
      <c r="H609" s="213"/>
    </row>
    <row r="610" spans="1:8">
      <c r="A610" s="212"/>
      <c r="B610" s="213"/>
      <c r="C610" s="213"/>
      <c r="D610" s="213"/>
      <c r="E610" s="213"/>
      <c r="F610" s="213"/>
      <c r="G610" s="213"/>
      <c r="H610" s="213"/>
    </row>
    <row r="611" spans="1:8">
      <c r="A611" s="212"/>
      <c r="B611" s="213"/>
      <c r="C611" s="213"/>
      <c r="D611" s="213"/>
      <c r="E611" s="213"/>
      <c r="F611" s="213"/>
      <c r="G611" s="213"/>
      <c r="H611" s="213"/>
    </row>
    <row r="612" spans="1:8">
      <c r="A612" s="212"/>
      <c r="B612" s="213"/>
      <c r="C612" s="213"/>
      <c r="D612" s="213"/>
      <c r="E612" s="213"/>
      <c r="F612" s="213"/>
      <c r="G612" s="213"/>
      <c r="H612" s="213"/>
    </row>
    <row r="613" spans="1:8">
      <c r="A613" s="212"/>
      <c r="B613" s="213"/>
      <c r="C613" s="213"/>
      <c r="D613" s="213"/>
      <c r="E613" s="213"/>
      <c r="F613" s="213"/>
      <c r="G613" s="213"/>
      <c r="H613" s="213"/>
    </row>
    <row r="614" spans="1:8">
      <c r="A614" s="212"/>
      <c r="B614" s="213"/>
      <c r="C614" s="213"/>
      <c r="D614" s="213"/>
      <c r="E614" s="213"/>
      <c r="F614" s="213"/>
      <c r="G614" s="213"/>
      <c r="H614" s="213"/>
    </row>
    <row r="615" spans="1:8">
      <c r="A615" s="212"/>
      <c r="B615" s="213"/>
      <c r="C615" s="213"/>
      <c r="D615" s="213"/>
      <c r="E615" s="213"/>
      <c r="F615" s="213"/>
      <c r="G615" s="213"/>
      <c r="H615" s="213"/>
    </row>
    <row r="616" spans="1:8">
      <c r="A616" s="212"/>
      <c r="B616" s="213"/>
      <c r="C616" s="213"/>
      <c r="D616" s="213"/>
      <c r="E616" s="213"/>
      <c r="F616" s="213"/>
      <c r="G616" s="213"/>
      <c r="H616" s="213"/>
    </row>
    <row r="617" spans="1:8">
      <c r="A617" s="212"/>
      <c r="B617" s="213"/>
      <c r="C617" s="213"/>
      <c r="D617" s="213"/>
      <c r="E617" s="213"/>
      <c r="F617" s="213"/>
      <c r="G617" s="213"/>
      <c r="H617" s="213"/>
    </row>
    <row r="618" spans="1:8">
      <c r="A618" s="212"/>
      <c r="B618" s="213"/>
      <c r="C618" s="213"/>
      <c r="D618" s="213"/>
      <c r="E618" s="213"/>
      <c r="F618" s="213"/>
      <c r="G618" s="213"/>
      <c r="H618" s="213"/>
    </row>
    <row r="619" spans="1:8">
      <c r="A619" s="212"/>
      <c r="B619" s="213"/>
      <c r="C619" s="213"/>
      <c r="D619" s="213"/>
      <c r="E619" s="213"/>
      <c r="F619" s="213"/>
      <c r="G619" s="213"/>
      <c r="H619" s="213"/>
    </row>
    <row r="620" spans="1:8">
      <c r="A620" s="212"/>
      <c r="B620" s="213"/>
      <c r="C620" s="213"/>
      <c r="D620" s="213"/>
      <c r="E620" s="213"/>
      <c r="F620" s="213"/>
      <c r="G620" s="213"/>
      <c r="H620" s="213"/>
    </row>
    <row r="621" spans="1:8">
      <c r="A621" s="212"/>
      <c r="B621" s="213"/>
      <c r="C621" s="213"/>
      <c r="D621" s="213"/>
      <c r="E621" s="213"/>
      <c r="F621" s="213"/>
      <c r="G621" s="213"/>
      <c r="H621" s="213"/>
    </row>
    <row r="622" spans="1:8">
      <c r="A622" s="212"/>
      <c r="B622" s="213"/>
      <c r="C622" s="213"/>
      <c r="D622" s="213"/>
      <c r="E622" s="213"/>
      <c r="F622" s="213"/>
      <c r="G622" s="213"/>
      <c r="H622" s="213"/>
    </row>
    <row r="623" spans="1:8">
      <c r="A623" s="212"/>
      <c r="B623" s="213"/>
      <c r="C623" s="213"/>
      <c r="D623" s="213"/>
      <c r="E623" s="213"/>
      <c r="F623" s="213"/>
      <c r="G623" s="213"/>
      <c r="H623" s="213"/>
    </row>
    <row r="624" spans="1:8">
      <c r="A624" s="212"/>
      <c r="B624" s="213"/>
      <c r="C624" s="213"/>
      <c r="D624" s="213"/>
      <c r="E624" s="213"/>
      <c r="F624" s="213"/>
      <c r="G624" s="213"/>
      <c r="H624" s="213"/>
    </row>
    <row r="625" spans="1:8">
      <c r="A625" s="212"/>
      <c r="B625" s="213"/>
      <c r="C625" s="213"/>
      <c r="D625" s="213"/>
      <c r="E625" s="213"/>
      <c r="F625" s="213"/>
      <c r="G625" s="213"/>
      <c r="H625" s="213"/>
    </row>
    <row r="626" spans="1:8">
      <c r="A626" s="212"/>
      <c r="B626" s="213"/>
      <c r="C626" s="213"/>
      <c r="D626" s="213"/>
      <c r="E626" s="213"/>
      <c r="F626" s="213"/>
      <c r="G626" s="213"/>
      <c r="H626" s="213"/>
    </row>
    <row r="627" spans="1:8">
      <c r="A627" s="212"/>
      <c r="B627" s="213"/>
      <c r="C627" s="213"/>
      <c r="D627" s="213"/>
      <c r="E627" s="213"/>
      <c r="F627" s="213"/>
      <c r="G627" s="213"/>
      <c r="H627" s="213"/>
    </row>
    <row r="628" spans="1:8">
      <c r="A628" s="212"/>
      <c r="B628" s="213"/>
      <c r="C628" s="213"/>
      <c r="D628" s="213"/>
      <c r="E628" s="213"/>
      <c r="F628" s="213"/>
      <c r="G628" s="213"/>
      <c r="H628" s="213"/>
    </row>
    <row r="629" spans="1:8">
      <c r="A629" s="212"/>
      <c r="B629" s="213"/>
      <c r="C629" s="213"/>
      <c r="D629" s="213"/>
      <c r="E629" s="213"/>
      <c r="F629" s="213"/>
      <c r="G629" s="213"/>
      <c r="H629" s="213"/>
    </row>
    <row r="630" spans="1:8">
      <c r="A630" s="212"/>
      <c r="B630" s="213"/>
      <c r="C630" s="213"/>
      <c r="D630" s="213"/>
      <c r="E630" s="213"/>
      <c r="F630" s="213"/>
      <c r="G630" s="213"/>
      <c r="H630" s="213"/>
    </row>
    <row r="631" spans="1:8">
      <c r="A631" s="212"/>
      <c r="B631" s="213"/>
      <c r="C631" s="213"/>
      <c r="D631" s="213"/>
      <c r="E631" s="213"/>
      <c r="F631" s="213"/>
      <c r="G631" s="213"/>
      <c r="H631" s="213"/>
    </row>
    <row r="632" spans="1:8">
      <c r="A632" s="212"/>
      <c r="B632" s="213"/>
      <c r="C632" s="213"/>
      <c r="D632" s="213"/>
      <c r="E632" s="213"/>
      <c r="F632" s="213"/>
      <c r="G632" s="213"/>
      <c r="H632" s="213"/>
    </row>
    <row r="633" spans="1:8">
      <c r="A633" s="212"/>
      <c r="B633" s="213"/>
      <c r="C633" s="213"/>
      <c r="D633" s="213"/>
      <c r="E633" s="213"/>
      <c r="F633" s="213"/>
      <c r="G633" s="213"/>
      <c r="H633" s="213"/>
    </row>
    <row r="634" spans="1:8">
      <c r="A634" s="212"/>
      <c r="B634" s="213"/>
      <c r="C634" s="213"/>
      <c r="D634" s="213"/>
      <c r="E634" s="213"/>
      <c r="F634" s="213"/>
      <c r="G634" s="213"/>
      <c r="H634" s="213"/>
    </row>
    <row r="635" spans="1:8">
      <c r="A635" s="212"/>
      <c r="B635" s="213"/>
      <c r="C635" s="213"/>
      <c r="D635" s="213"/>
      <c r="E635" s="213"/>
      <c r="F635" s="213"/>
      <c r="G635" s="213"/>
      <c r="H635" s="213"/>
    </row>
    <row r="636" spans="1:8">
      <c r="A636" s="212"/>
      <c r="B636" s="213"/>
      <c r="C636" s="213"/>
      <c r="D636" s="213"/>
      <c r="E636" s="213"/>
      <c r="F636" s="213"/>
      <c r="G636" s="213"/>
      <c r="H636" s="213"/>
    </row>
    <row r="637" spans="1:8">
      <c r="A637" s="212"/>
      <c r="B637" s="213"/>
      <c r="C637" s="213"/>
      <c r="D637" s="213"/>
      <c r="E637" s="213"/>
      <c r="F637" s="213"/>
      <c r="G637" s="213"/>
      <c r="H637" s="213"/>
    </row>
    <row r="638" spans="1:8">
      <c r="A638" s="212"/>
      <c r="B638" s="213"/>
      <c r="C638" s="213"/>
      <c r="D638" s="213"/>
      <c r="E638" s="213"/>
      <c r="F638" s="213"/>
      <c r="G638" s="213"/>
      <c r="H638" s="213"/>
    </row>
    <row r="639" spans="1:8">
      <c r="A639" s="212"/>
      <c r="B639" s="213"/>
      <c r="C639" s="213"/>
      <c r="D639" s="213"/>
      <c r="E639" s="213"/>
      <c r="F639" s="213"/>
      <c r="G639" s="213"/>
      <c r="H639" s="213"/>
    </row>
    <row r="640" spans="1:8">
      <c r="A640" s="212"/>
      <c r="B640" s="213"/>
      <c r="C640" s="213"/>
      <c r="D640" s="213"/>
      <c r="E640" s="213"/>
      <c r="F640" s="213"/>
      <c r="G640" s="213"/>
      <c r="H640" s="213"/>
    </row>
    <row r="641" spans="1:8">
      <c r="A641" s="212"/>
      <c r="B641" s="213"/>
      <c r="C641" s="213"/>
      <c r="D641" s="213"/>
      <c r="E641" s="213"/>
      <c r="F641" s="213"/>
      <c r="G641" s="213"/>
      <c r="H641" s="213"/>
    </row>
    <row r="642" spans="1:8">
      <c r="A642" s="212"/>
      <c r="B642" s="213"/>
      <c r="C642" s="213"/>
      <c r="D642" s="213"/>
      <c r="E642" s="213"/>
      <c r="F642" s="213"/>
      <c r="G642" s="213"/>
      <c r="H642" s="213"/>
    </row>
    <row r="643" spans="1:8">
      <c r="A643" s="212"/>
      <c r="B643" s="213"/>
      <c r="C643" s="213"/>
      <c r="D643" s="213"/>
      <c r="E643" s="213"/>
      <c r="F643" s="213"/>
      <c r="G643" s="213"/>
      <c r="H643" s="213"/>
    </row>
    <row r="644" spans="1:8">
      <c r="A644" s="212"/>
      <c r="B644" s="213"/>
      <c r="C644" s="213"/>
      <c r="D644" s="213"/>
      <c r="E644" s="213"/>
      <c r="F644" s="213"/>
      <c r="G644" s="213"/>
      <c r="H644" s="213"/>
    </row>
    <row r="645" spans="1:8">
      <c r="A645" s="212"/>
      <c r="B645" s="213"/>
      <c r="C645" s="213"/>
      <c r="D645" s="213"/>
      <c r="E645" s="213"/>
      <c r="F645" s="213"/>
      <c r="G645" s="213"/>
      <c r="H645" s="213"/>
    </row>
    <row r="646" spans="1:8">
      <c r="A646" s="212"/>
      <c r="B646" s="213"/>
      <c r="C646" s="213"/>
      <c r="D646" s="213"/>
      <c r="E646" s="213"/>
      <c r="F646" s="213"/>
      <c r="G646" s="213"/>
      <c r="H646" s="213"/>
    </row>
    <row r="647" spans="1:8">
      <c r="A647" s="212"/>
      <c r="B647" s="213"/>
      <c r="C647" s="213"/>
      <c r="D647" s="213"/>
      <c r="E647" s="213"/>
      <c r="F647" s="213"/>
      <c r="G647" s="213"/>
      <c r="H647" s="213"/>
    </row>
    <row r="648" spans="1:8">
      <c r="A648" s="212"/>
      <c r="B648" s="213"/>
      <c r="C648" s="213"/>
      <c r="D648" s="213"/>
      <c r="E648" s="213"/>
      <c r="F648" s="213"/>
      <c r="G648" s="213"/>
      <c r="H648" s="213"/>
    </row>
    <row r="649" spans="1:8">
      <c r="A649" s="212"/>
      <c r="B649" s="213"/>
      <c r="C649" s="213"/>
      <c r="D649" s="213"/>
      <c r="E649" s="213"/>
      <c r="F649" s="213"/>
      <c r="G649" s="213"/>
      <c r="H649" s="213"/>
    </row>
    <row r="650" spans="1:8">
      <c r="A650" s="212"/>
      <c r="B650" s="213"/>
      <c r="C650" s="213"/>
      <c r="D650" s="213"/>
      <c r="E650" s="213"/>
      <c r="F650" s="213"/>
      <c r="G650" s="213"/>
      <c r="H650" s="213"/>
    </row>
    <row r="651" spans="1:8">
      <c r="A651" s="212"/>
      <c r="B651" s="213"/>
      <c r="C651" s="213"/>
      <c r="D651" s="213"/>
      <c r="E651" s="213"/>
      <c r="F651" s="213"/>
      <c r="G651" s="213"/>
      <c r="H651" s="213"/>
    </row>
    <row r="652" spans="1:8">
      <c r="A652" s="212"/>
      <c r="B652" s="213"/>
      <c r="C652" s="213"/>
      <c r="D652" s="213"/>
      <c r="E652" s="213"/>
      <c r="F652" s="213"/>
      <c r="G652" s="213"/>
      <c r="H652" s="213"/>
    </row>
    <row r="653" spans="1:8">
      <c r="A653" s="212"/>
      <c r="B653" s="213"/>
      <c r="C653" s="213"/>
      <c r="D653" s="213"/>
      <c r="E653" s="213"/>
      <c r="F653" s="213"/>
      <c r="G653" s="213"/>
      <c r="H653" s="213"/>
    </row>
    <row r="654" spans="1:8">
      <c r="A654" s="212"/>
      <c r="B654" s="213"/>
      <c r="C654" s="213"/>
      <c r="D654" s="213"/>
      <c r="E654" s="213"/>
      <c r="F654" s="213"/>
      <c r="G654" s="213"/>
      <c r="H654" s="213"/>
    </row>
    <row r="655" spans="1:8">
      <c r="A655" s="212"/>
      <c r="B655" s="213"/>
      <c r="C655" s="213"/>
      <c r="D655" s="213"/>
      <c r="E655" s="213"/>
      <c r="F655" s="213"/>
      <c r="G655" s="213"/>
      <c r="H655" s="213"/>
    </row>
    <row r="656" spans="1:8">
      <c r="A656" s="212"/>
      <c r="B656" s="213"/>
      <c r="C656" s="213"/>
      <c r="D656" s="213"/>
      <c r="E656" s="213"/>
      <c r="F656" s="213"/>
      <c r="G656" s="213"/>
      <c r="H656" s="213"/>
    </row>
    <row r="657" spans="1:8">
      <c r="A657" s="212"/>
      <c r="B657" s="213"/>
      <c r="C657" s="213"/>
      <c r="D657" s="213"/>
      <c r="E657" s="213"/>
      <c r="F657" s="213"/>
      <c r="G657" s="213"/>
      <c r="H657" s="213"/>
    </row>
    <row r="658" spans="1:8">
      <c r="A658" s="212"/>
      <c r="B658" s="213"/>
      <c r="C658" s="213"/>
      <c r="D658" s="213"/>
      <c r="E658" s="213"/>
      <c r="F658" s="213"/>
      <c r="G658" s="213"/>
      <c r="H658" s="213"/>
    </row>
    <row r="659" spans="1:8">
      <c r="A659" s="212"/>
      <c r="B659" s="213"/>
      <c r="C659" s="213"/>
      <c r="D659" s="213"/>
      <c r="E659" s="213"/>
      <c r="F659" s="213"/>
      <c r="G659" s="213"/>
      <c r="H659" s="213"/>
    </row>
    <row r="660" spans="1:8">
      <c r="A660" s="212"/>
      <c r="B660" s="213"/>
      <c r="C660" s="213"/>
      <c r="D660" s="213"/>
      <c r="E660" s="213"/>
      <c r="F660" s="213"/>
      <c r="G660" s="213"/>
      <c r="H660" s="213"/>
    </row>
    <row r="661" spans="1:8">
      <c r="A661" s="212"/>
      <c r="B661" s="213"/>
      <c r="C661" s="213"/>
      <c r="D661" s="213"/>
      <c r="E661" s="213"/>
      <c r="F661" s="213"/>
      <c r="G661" s="213"/>
      <c r="H661" s="213"/>
    </row>
    <row r="662" spans="1:8">
      <c r="A662" s="212"/>
      <c r="B662" s="213"/>
      <c r="C662" s="213"/>
      <c r="D662" s="213"/>
      <c r="E662" s="213"/>
      <c r="F662" s="213"/>
      <c r="G662" s="213"/>
      <c r="H662" s="213"/>
    </row>
    <row r="663" spans="1:8">
      <c r="A663" s="212"/>
      <c r="B663" s="213"/>
      <c r="C663" s="213"/>
      <c r="D663" s="213"/>
      <c r="E663" s="213"/>
      <c r="F663" s="213"/>
      <c r="G663" s="213"/>
      <c r="H663" s="213"/>
    </row>
    <row r="664" spans="1:8">
      <c r="A664" s="212"/>
      <c r="B664" s="213"/>
      <c r="C664" s="213"/>
      <c r="D664" s="213"/>
      <c r="E664" s="213"/>
      <c r="F664" s="213"/>
      <c r="G664" s="213"/>
      <c r="H664" s="213"/>
    </row>
    <row r="665" spans="1:8">
      <c r="A665" s="212"/>
      <c r="B665" s="213"/>
      <c r="C665" s="213"/>
      <c r="D665" s="213"/>
      <c r="E665" s="213"/>
      <c r="F665" s="213"/>
      <c r="G665" s="213"/>
      <c r="H665" s="213"/>
    </row>
    <row r="666" spans="1:8">
      <c r="A666" s="212"/>
      <c r="B666" s="213"/>
      <c r="C666" s="213"/>
      <c r="D666" s="213"/>
      <c r="E666" s="213"/>
      <c r="F666" s="213"/>
      <c r="G666" s="213"/>
      <c r="H666" s="213"/>
    </row>
    <row r="667" spans="1:8">
      <c r="A667" s="212"/>
      <c r="B667" s="213"/>
      <c r="C667" s="213"/>
      <c r="D667" s="213"/>
      <c r="E667" s="213"/>
      <c r="F667" s="213"/>
      <c r="G667" s="213"/>
      <c r="H667" s="213"/>
    </row>
    <row r="668" spans="1:8">
      <c r="A668" s="212"/>
      <c r="B668" s="213"/>
      <c r="C668" s="213"/>
      <c r="D668" s="213"/>
      <c r="E668" s="213"/>
      <c r="F668" s="213"/>
      <c r="G668" s="213"/>
      <c r="H668" s="213"/>
    </row>
    <row r="669" spans="1:8">
      <c r="A669" s="212"/>
      <c r="B669" s="213"/>
      <c r="C669" s="213"/>
      <c r="D669" s="213"/>
      <c r="E669" s="213"/>
      <c r="F669" s="213"/>
      <c r="G669" s="213"/>
      <c r="H669" s="213"/>
    </row>
    <row r="670" spans="1:8">
      <c r="A670" s="212"/>
      <c r="B670" s="213"/>
      <c r="C670" s="213"/>
      <c r="D670" s="213"/>
      <c r="E670" s="213"/>
      <c r="F670" s="213"/>
      <c r="G670" s="213"/>
      <c r="H670" s="213"/>
    </row>
    <row r="671" spans="1:8">
      <c r="A671" s="212"/>
      <c r="B671" s="213"/>
      <c r="C671" s="213"/>
      <c r="D671" s="213"/>
      <c r="E671" s="213"/>
      <c r="F671" s="213"/>
      <c r="G671" s="213"/>
      <c r="H671" s="213"/>
    </row>
    <row r="672" spans="1:8">
      <c r="A672" s="212"/>
      <c r="B672" s="213"/>
      <c r="C672" s="213"/>
      <c r="D672" s="213"/>
      <c r="E672" s="213"/>
      <c r="F672" s="213"/>
      <c r="G672" s="213"/>
      <c r="H672" s="213"/>
    </row>
    <row r="673" spans="1:8">
      <c r="A673" s="212"/>
      <c r="B673" s="213"/>
      <c r="C673" s="213"/>
      <c r="D673" s="213"/>
      <c r="E673" s="213"/>
      <c r="F673" s="213"/>
      <c r="G673" s="213"/>
      <c r="H673" s="213"/>
    </row>
    <row r="674" spans="1:8">
      <c r="A674" s="212"/>
      <c r="B674" s="213"/>
      <c r="C674" s="213"/>
      <c r="D674" s="213"/>
      <c r="E674" s="213"/>
      <c r="F674" s="213"/>
      <c r="G674" s="213"/>
      <c r="H674" s="213"/>
    </row>
    <row r="675" spans="1:8">
      <c r="A675" s="212"/>
      <c r="B675" s="213"/>
      <c r="C675" s="213"/>
      <c r="D675" s="213"/>
      <c r="E675" s="213"/>
      <c r="F675" s="213"/>
      <c r="G675" s="213"/>
      <c r="H675" s="213"/>
    </row>
    <row r="676" spans="1:8">
      <c r="A676" s="212"/>
      <c r="B676" s="213"/>
      <c r="C676" s="213"/>
      <c r="D676" s="213"/>
      <c r="E676" s="213"/>
      <c r="F676" s="213"/>
      <c r="G676" s="213"/>
      <c r="H676" s="213"/>
    </row>
    <row r="677" spans="1:8">
      <c r="A677" s="212"/>
      <c r="B677" s="213"/>
      <c r="C677" s="213"/>
      <c r="D677" s="213"/>
      <c r="E677" s="213"/>
      <c r="F677" s="213"/>
      <c r="G677" s="213"/>
      <c r="H677" s="213"/>
    </row>
    <row r="678" spans="1:8">
      <c r="A678" s="212"/>
      <c r="B678" s="213"/>
      <c r="C678" s="213"/>
      <c r="D678" s="213"/>
      <c r="E678" s="213"/>
      <c r="F678" s="213"/>
      <c r="G678" s="213"/>
      <c r="H678" s="213"/>
    </row>
    <row r="679" spans="1:8">
      <c r="A679" s="212"/>
      <c r="B679" s="213"/>
      <c r="C679" s="213"/>
      <c r="D679" s="213"/>
      <c r="E679" s="213"/>
      <c r="F679" s="213"/>
      <c r="G679" s="213"/>
      <c r="H679" s="213"/>
    </row>
    <row r="680" spans="1:8">
      <c r="A680" s="212"/>
      <c r="B680" s="213"/>
      <c r="C680" s="213"/>
      <c r="D680" s="213"/>
      <c r="E680" s="213"/>
      <c r="F680" s="213"/>
      <c r="G680" s="213"/>
      <c r="H680" s="213"/>
    </row>
    <row r="681" spans="1:8">
      <c r="A681" s="212"/>
      <c r="B681" s="213"/>
      <c r="C681" s="213"/>
      <c r="D681" s="213"/>
      <c r="E681" s="213"/>
      <c r="F681" s="213"/>
      <c r="G681" s="213"/>
      <c r="H681" s="213"/>
    </row>
    <row r="682" spans="1:8">
      <c r="A682" s="212"/>
      <c r="B682" s="213"/>
      <c r="C682" s="213"/>
      <c r="D682" s="213"/>
      <c r="E682" s="213"/>
      <c r="F682" s="213"/>
      <c r="G682" s="213"/>
      <c r="H682" s="213"/>
    </row>
    <row r="683" spans="1:8">
      <c r="A683" s="212"/>
      <c r="B683" s="213"/>
      <c r="C683" s="213"/>
      <c r="D683" s="213"/>
      <c r="E683" s="213"/>
      <c r="F683" s="213"/>
      <c r="G683" s="213"/>
      <c r="H683" s="213"/>
    </row>
    <row r="684" spans="1:8">
      <c r="A684" s="212"/>
      <c r="B684" s="213"/>
      <c r="C684" s="213"/>
      <c r="D684" s="213"/>
      <c r="E684" s="213"/>
      <c r="F684" s="213"/>
      <c r="G684" s="213"/>
      <c r="H684" s="213"/>
    </row>
    <row r="685" spans="1:8">
      <c r="A685" s="212"/>
      <c r="B685" s="213"/>
      <c r="C685" s="213"/>
      <c r="D685" s="213"/>
      <c r="E685" s="213"/>
      <c r="F685" s="213"/>
      <c r="G685" s="213"/>
      <c r="H685" s="213"/>
    </row>
    <row r="686" spans="1:8">
      <c r="A686" s="212"/>
      <c r="B686" s="213"/>
      <c r="C686" s="213"/>
      <c r="D686" s="213"/>
      <c r="E686" s="213"/>
      <c r="F686" s="213"/>
      <c r="G686" s="213"/>
      <c r="H686" s="213"/>
    </row>
    <row r="687" spans="1:8">
      <c r="A687" s="212"/>
      <c r="B687" s="213"/>
      <c r="C687" s="213"/>
      <c r="D687" s="213"/>
      <c r="E687" s="213"/>
      <c r="F687" s="213"/>
      <c r="G687" s="213"/>
      <c r="H687" s="213"/>
    </row>
    <row r="688" spans="1:8">
      <c r="A688" s="212"/>
      <c r="B688" s="213"/>
      <c r="C688" s="213"/>
      <c r="D688" s="213"/>
      <c r="E688" s="213"/>
      <c r="F688" s="213"/>
      <c r="G688" s="213"/>
      <c r="H688" s="213"/>
    </row>
    <row r="689" spans="1:8">
      <c r="A689" s="212"/>
      <c r="B689" s="213"/>
      <c r="C689" s="213"/>
      <c r="D689" s="213"/>
      <c r="E689" s="213"/>
      <c r="F689" s="213"/>
      <c r="G689" s="213"/>
      <c r="H689" s="213"/>
    </row>
    <row r="690" spans="1:8">
      <c r="A690" s="212"/>
      <c r="B690" s="213"/>
      <c r="C690" s="213"/>
      <c r="D690" s="213"/>
      <c r="E690" s="213"/>
      <c r="F690" s="213"/>
      <c r="G690" s="213"/>
      <c r="H690" s="213"/>
    </row>
    <row r="691" spans="1:8">
      <c r="A691" s="212"/>
      <c r="B691" s="213"/>
      <c r="C691" s="213"/>
      <c r="D691" s="213"/>
      <c r="E691" s="213"/>
      <c r="F691" s="213"/>
      <c r="G691" s="213"/>
      <c r="H691" s="213"/>
    </row>
    <row r="692" spans="1:8">
      <c r="A692" s="212"/>
      <c r="B692" s="213"/>
      <c r="C692" s="213"/>
      <c r="D692" s="213"/>
      <c r="E692" s="213"/>
      <c r="F692" s="213"/>
      <c r="G692" s="213"/>
      <c r="H692" s="213"/>
    </row>
    <row r="693" spans="1:8">
      <c r="A693" s="212"/>
      <c r="B693" s="213"/>
      <c r="C693" s="213"/>
      <c r="D693" s="213"/>
      <c r="E693" s="213"/>
      <c r="F693" s="213"/>
      <c r="G693" s="213"/>
      <c r="H693" s="213"/>
    </row>
    <row r="694" spans="1:8">
      <c r="A694" s="212"/>
      <c r="B694" s="213"/>
      <c r="C694" s="213"/>
      <c r="D694" s="213"/>
      <c r="E694" s="213"/>
      <c r="F694" s="213"/>
      <c r="G694" s="213"/>
      <c r="H694" s="213"/>
    </row>
    <row r="695" spans="1:8">
      <c r="A695" s="212"/>
      <c r="B695" s="213"/>
      <c r="C695" s="213"/>
      <c r="D695" s="213"/>
      <c r="E695" s="213"/>
      <c r="F695" s="213"/>
      <c r="G695" s="213"/>
      <c r="H695" s="213"/>
    </row>
    <row r="696" spans="1:8">
      <c r="A696" s="212"/>
      <c r="B696" s="213"/>
      <c r="C696" s="213"/>
      <c r="D696" s="213"/>
      <c r="E696" s="213"/>
      <c r="F696" s="213"/>
      <c r="G696" s="213"/>
      <c r="H696" s="213"/>
    </row>
    <row r="697" spans="1:8">
      <c r="A697" s="212"/>
      <c r="B697" s="213"/>
      <c r="C697" s="213"/>
      <c r="D697" s="213"/>
      <c r="E697" s="213"/>
      <c r="F697" s="213"/>
      <c r="G697" s="213"/>
      <c r="H697" s="213"/>
    </row>
    <row r="698" spans="1:8">
      <c r="A698" s="212"/>
      <c r="B698" s="213"/>
      <c r="C698" s="213"/>
      <c r="D698" s="213"/>
      <c r="E698" s="213"/>
      <c r="F698" s="213"/>
      <c r="G698" s="213"/>
      <c r="H698" s="213"/>
    </row>
    <row r="699" spans="1:8">
      <c r="A699" s="212"/>
      <c r="B699" s="213"/>
      <c r="C699" s="213"/>
      <c r="D699" s="213"/>
      <c r="E699" s="213"/>
      <c r="F699" s="213"/>
      <c r="G699" s="213"/>
      <c r="H699" s="213"/>
    </row>
    <row r="700" spans="1:8">
      <c r="A700" s="212"/>
      <c r="B700" s="213"/>
      <c r="C700" s="213"/>
      <c r="D700" s="213"/>
      <c r="E700" s="213"/>
      <c r="F700" s="213"/>
      <c r="G700" s="213"/>
      <c r="H700" s="213"/>
    </row>
    <row r="701" spans="1:8">
      <c r="A701" s="212"/>
      <c r="B701" s="213"/>
      <c r="C701" s="213"/>
      <c r="D701" s="213"/>
      <c r="E701" s="213"/>
      <c r="F701" s="213"/>
      <c r="G701" s="213"/>
      <c r="H701" s="213"/>
    </row>
    <row r="702" spans="1:8">
      <c r="A702" s="212"/>
      <c r="B702" s="213"/>
      <c r="C702" s="213"/>
      <c r="D702" s="213"/>
      <c r="E702" s="213"/>
      <c r="F702" s="213"/>
      <c r="G702" s="213"/>
      <c r="H702" s="213"/>
    </row>
    <row r="703" spans="1:8">
      <c r="A703" s="212"/>
      <c r="B703" s="213"/>
      <c r="C703" s="213"/>
      <c r="D703" s="213"/>
      <c r="E703" s="213"/>
      <c r="F703" s="213"/>
      <c r="G703" s="213"/>
      <c r="H703" s="213"/>
    </row>
    <row r="704" spans="1:8">
      <c r="A704" s="212"/>
      <c r="B704" s="213"/>
      <c r="C704" s="213"/>
      <c r="D704" s="213"/>
      <c r="E704" s="213"/>
      <c r="F704" s="213"/>
      <c r="G704" s="213"/>
      <c r="H704" s="213"/>
    </row>
    <row r="705" spans="1:8">
      <c r="A705" s="212"/>
      <c r="B705" s="213"/>
      <c r="C705" s="213"/>
      <c r="D705" s="213"/>
      <c r="E705" s="213"/>
      <c r="F705" s="213"/>
      <c r="G705" s="213"/>
      <c r="H705" s="213"/>
    </row>
    <row r="706" spans="1:8">
      <c r="A706" s="212"/>
      <c r="B706" s="213"/>
      <c r="C706" s="213"/>
      <c r="D706" s="213"/>
      <c r="E706" s="213"/>
      <c r="F706" s="213"/>
      <c r="G706" s="213"/>
      <c r="H706" s="213"/>
    </row>
    <row r="707" spans="1:8">
      <c r="A707" s="212"/>
      <c r="B707" s="213"/>
      <c r="C707" s="213"/>
      <c r="D707" s="213"/>
      <c r="E707" s="213"/>
      <c r="F707" s="213"/>
      <c r="G707" s="213"/>
      <c r="H707" s="213"/>
    </row>
    <row r="708" spans="1:8">
      <c r="A708" s="212"/>
      <c r="B708" s="213"/>
      <c r="C708" s="213"/>
      <c r="D708" s="213"/>
      <c r="E708" s="213"/>
      <c r="F708" s="213"/>
      <c r="G708" s="213"/>
      <c r="H708" s="213"/>
    </row>
    <row r="709" spans="1:8">
      <c r="A709" s="212"/>
      <c r="B709" s="213"/>
      <c r="C709" s="213"/>
      <c r="D709" s="213"/>
      <c r="E709" s="213"/>
      <c r="F709" s="213"/>
      <c r="G709" s="213"/>
      <c r="H709" s="213"/>
    </row>
    <row r="710" spans="1:8">
      <c r="A710" s="212"/>
      <c r="B710" s="213"/>
      <c r="C710" s="213"/>
      <c r="D710" s="213"/>
      <c r="E710" s="213"/>
      <c r="F710" s="213"/>
      <c r="G710" s="213"/>
      <c r="H710" s="213"/>
    </row>
    <row r="711" spans="1:8">
      <c r="A711" s="212"/>
      <c r="B711" s="213"/>
      <c r="C711" s="213"/>
      <c r="D711" s="213"/>
      <c r="E711" s="213"/>
      <c r="F711" s="213"/>
      <c r="G711" s="213"/>
      <c r="H711" s="213"/>
    </row>
    <row r="712" spans="1:8">
      <c r="A712" s="212"/>
      <c r="B712" s="213"/>
      <c r="C712" s="213"/>
      <c r="D712" s="213"/>
      <c r="E712" s="213"/>
      <c r="F712" s="213"/>
      <c r="G712" s="213"/>
      <c r="H712" s="213"/>
    </row>
    <row r="713" spans="1:8">
      <c r="A713" s="212"/>
      <c r="B713" s="213"/>
      <c r="C713" s="213"/>
      <c r="D713" s="213"/>
      <c r="E713" s="213"/>
      <c r="F713" s="213"/>
      <c r="G713" s="213"/>
      <c r="H713" s="213"/>
    </row>
    <row r="714" spans="1:8">
      <c r="A714" s="212"/>
      <c r="B714" s="213"/>
      <c r="C714" s="213"/>
      <c r="D714" s="213"/>
      <c r="E714" s="213"/>
      <c r="F714" s="213"/>
      <c r="G714" s="213"/>
      <c r="H714" s="213"/>
    </row>
    <row r="715" spans="1:8">
      <c r="A715" s="212"/>
      <c r="B715" s="213"/>
      <c r="C715" s="213"/>
      <c r="D715" s="213"/>
      <c r="E715" s="213"/>
      <c r="F715" s="213"/>
      <c r="G715" s="213"/>
      <c r="H715" s="213"/>
    </row>
    <row r="716" spans="1:8">
      <c r="A716" s="212"/>
      <c r="B716" s="213"/>
      <c r="C716" s="213"/>
      <c r="D716" s="213"/>
      <c r="E716" s="213"/>
      <c r="F716" s="213"/>
      <c r="G716" s="213"/>
      <c r="H716" s="213"/>
    </row>
    <row r="717" spans="1:8">
      <c r="A717" s="212"/>
      <c r="B717" s="213"/>
      <c r="C717" s="213"/>
      <c r="D717" s="213"/>
      <c r="E717" s="213"/>
      <c r="F717" s="213"/>
      <c r="G717" s="213"/>
      <c r="H717" s="213"/>
    </row>
    <row r="718" spans="1:8">
      <c r="A718" s="212"/>
      <c r="B718" s="213"/>
      <c r="C718" s="213"/>
      <c r="D718" s="213"/>
      <c r="E718" s="213"/>
      <c r="F718" s="213"/>
      <c r="G718" s="213"/>
      <c r="H718" s="213"/>
    </row>
    <row r="719" spans="1:8">
      <c r="A719" s="212"/>
      <c r="B719" s="213"/>
      <c r="C719" s="213"/>
      <c r="D719" s="213"/>
      <c r="E719" s="213"/>
      <c r="F719" s="213"/>
      <c r="G719" s="213"/>
      <c r="H719" s="213"/>
    </row>
    <row r="720" spans="1:8">
      <c r="A720" s="212"/>
      <c r="B720" s="213"/>
      <c r="C720" s="213"/>
      <c r="D720" s="213"/>
      <c r="E720" s="213"/>
      <c r="F720" s="213"/>
      <c r="G720" s="213"/>
      <c r="H720" s="213"/>
    </row>
    <row r="721" spans="1:8">
      <c r="A721" s="212"/>
      <c r="B721" s="213"/>
      <c r="C721" s="213"/>
      <c r="D721" s="213"/>
      <c r="E721" s="213"/>
      <c r="F721" s="213"/>
      <c r="G721" s="213"/>
      <c r="H721" s="213"/>
    </row>
    <row r="722" spans="1:8">
      <c r="A722" s="212"/>
      <c r="B722" s="213"/>
      <c r="C722" s="213"/>
      <c r="D722" s="213"/>
      <c r="E722" s="213"/>
      <c r="F722" s="213"/>
      <c r="G722" s="213"/>
      <c r="H722" s="213"/>
    </row>
    <row r="723" spans="1:8">
      <c r="A723" s="212"/>
      <c r="B723" s="213"/>
      <c r="C723" s="213"/>
      <c r="D723" s="213"/>
      <c r="E723" s="213"/>
      <c r="F723" s="213"/>
      <c r="G723" s="213"/>
      <c r="H723" s="213"/>
    </row>
    <row r="724" spans="1:8">
      <c r="A724" s="212"/>
      <c r="B724" s="213"/>
      <c r="C724" s="213"/>
      <c r="D724" s="213"/>
      <c r="E724" s="213"/>
      <c r="F724" s="213"/>
      <c r="G724" s="213"/>
      <c r="H724" s="213"/>
    </row>
    <row r="725" spans="1:8">
      <c r="A725" s="212"/>
      <c r="B725" s="213"/>
      <c r="C725" s="213"/>
      <c r="D725" s="213"/>
      <c r="E725" s="213"/>
      <c r="F725" s="213"/>
      <c r="G725" s="213"/>
      <c r="H725" s="213"/>
    </row>
    <row r="726" spans="1:8">
      <c r="A726" s="212"/>
      <c r="B726" s="213"/>
      <c r="C726" s="213"/>
      <c r="D726" s="213"/>
      <c r="E726" s="213"/>
      <c r="F726" s="213"/>
      <c r="G726" s="213"/>
      <c r="H726" s="213"/>
    </row>
    <row r="727" spans="1:8">
      <c r="A727" s="212"/>
      <c r="B727" s="213"/>
      <c r="C727" s="213"/>
      <c r="D727" s="213"/>
      <c r="E727" s="213"/>
      <c r="F727" s="213"/>
      <c r="G727" s="213"/>
      <c r="H727" s="213"/>
    </row>
    <row r="728" spans="1:8">
      <c r="A728" s="212"/>
      <c r="B728" s="213"/>
      <c r="C728" s="213"/>
      <c r="D728" s="213"/>
      <c r="E728" s="213"/>
      <c r="F728" s="213"/>
      <c r="G728" s="213"/>
      <c r="H728" s="213"/>
    </row>
    <row r="729" spans="1:8">
      <c r="A729" s="212"/>
      <c r="B729" s="213"/>
      <c r="C729" s="213"/>
      <c r="D729" s="213"/>
      <c r="E729" s="213"/>
      <c r="F729" s="213"/>
      <c r="G729" s="213"/>
      <c r="H729" s="213"/>
    </row>
    <row r="730" spans="1:8">
      <c r="A730" s="212"/>
      <c r="B730" s="213"/>
      <c r="C730" s="213"/>
      <c r="D730" s="213"/>
      <c r="E730" s="213"/>
      <c r="F730" s="213"/>
      <c r="G730" s="213"/>
      <c r="H730" s="213"/>
    </row>
    <row r="731" spans="1:8">
      <c r="A731" s="212"/>
      <c r="B731" s="213"/>
      <c r="C731" s="213"/>
      <c r="D731" s="213"/>
      <c r="E731" s="213"/>
      <c r="F731" s="213"/>
      <c r="G731" s="213"/>
      <c r="H731" s="213"/>
    </row>
    <row r="732" spans="1:8">
      <c r="A732" s="212"/>
      <c r="B732" s="213"/>
      <c r="C732" s="213"/>
      <c r="D732" s="213"/>
      <c r="E732" s="213"/>
      <c r="F732" s="213"/>
      <c r="G732" s="213"/>
      <c r="H732" s="213"/>
    </row>
    <row r="733" spans="1:8">
      <c r="A733" s="212"/>
      <c r="B733" s="213"/>
      <c r="C733" s="213"/>
      <c r="D733" s="213"/>
      <c r="E733" s="213"/>
      <c r="F733" s="213"/>
      <c r="G733" s="213"/>
      <c r="H733" s="213"/>
    </row>
    <row r="734" spans="1:8">
      <c r="A734" s="212"/>
      <c r="B734" s="213"/>
      <c r="C734" s="213"/>
      <c r="D734" s="213"/>
      <c r="E734" s="213"/>
      <c r="F734" s="213"/>
      <c r="G734" s="213"/>
      <c r="H734" s="213"/>
    </row>
    <row r="735" spans="1:8">
      <c r="A735" s="212"/>
      <c r="B735" s="213"/>
      <c r="C735" s="213"/>
      <c r="D735" s="213"/>
      <c r="E735" s="213"/>
      <c r="F735" s="213"/>
      <c r="G735" s="213"/>
      <c r="H735" s="213"/>
    </row>
    <row r="736" spans="1:8">
      <c r="A736" s="212"/>
      <c r="B736" s="213"/>
      <c r="C736" s="213"/>
      <c r="D736" s="213"/>
      <c r="E736" s="213"/>
      <c r="F736" s="213"/>
      <c r="G736" s="213"/>
      <c r="H736" s="213"/>
    </row>
    <row r="737" spans="1:8">
      <c r="A737" s="212"/>
      <c r="B737" s="213"/>
      <c r="C737" s="213"/>
      <c r="D737" s="213"/>
      <c r="E737" s="213"/>
      <c r="F737" s="213"/>
      <c r="G737" s="213"/>
      <c r="H737" s="213"/>
    </row>
    <row r="738" spans="1:8">
      <c r="A738" s="212"/>
      <c r="B738" s="213"/>
      <c r="C738" s="213"/>
      <c r="D738" s="213"/>
      <c r="E738" s="213"/>
      <c r="F738" s="213"/>
      <c r="G738" s="213"/>
      <c r="H738" s="213"/>
    </row>
    <row r="739" spans="1:8">
      <c r="A739" s="212"/>
      <c r="B739" s="213"/>
      <c r="C739" s="213"/>
      <c r="D739" s="213"/>
      <c r="E739" s="213"/>
      <c r="F739" s="213"/>
      <c r="G739" s="213"/>
      <c r="H739" s="213"/>
    </row>
    <row r="740" spans="1:8">
      <c r="A740" s="212"/>
      <c r="B740" s="213"/>
      <c r="C740" s="213"/>
      <c r="D740" s="213"/>
      <c r="E740" s="213"/>
      <c r="F740" s="213"/>
      <c r="G740" s="213"/>
      <c r="H740" s="213"/>
    </row>
    <row r="741" spans="1:8">
      <c r="A741" s="212"/>
      <c r="B741" s="213"/>
      <c r="C741" s="213"/>
      <c r="D741" s="213"/>
      <c r="E741" s="213"/>
      <c r="F741" s="213"/>
      <c r="G741" s="213"/>
      <c r="H741" s="213"/>
    </row>
    <row r="742" spans="1:8">
      <c r="A742" s="212"/>
      <c r="B742" s="213"/>
      <c r="C742" s="213"/>
      <c r="D742" s="213"/>
      <c r="E742" s="213"/>
      <c r="F742" s="213"/>
      <c r="G742" s="213"/>
      <c r="H742" s="213"/>
    </row>
    <row r="743" spans="1:8">
      <c r="A743" s="212"/>
      <c r="B743" s="213"/>
      <c r="C743" s="213"/>
      <c r="D743" s="213"/>
      <c r="E743" s="213"/>
      <c r="F743" s="213"/>
      <c r="G743" s="213"/>
      <c r="H743" s="213"/>
    </row>
    <row r="744" spans="1:8">
      <c r="A744" s="212"/>
      <c r="B744" s="213"/>
      <c r="C744" s="213"/>
      <c r="D744" s="213"/>
      <c r="E744" s="213"/>
      <c r="F744" s="213"/>
      <c r="G744" s="213"/>
      <c r="H744" s="213"/>
    </row>
    <row r="745" spans="1:8">
      <c r="A745" s="212"/>
      <c r="B745" s="213"/>
      <c r="C745" s="213"/>
      <c r="D745" s="213"/>
      <c r="E745" s="213"/>
      <c r="F745" s="213"/>
      <c r="G745" s="213"/>
      <c r="H745" s="213"/>
    </row>
    <row r="746" spans="1:8">
      <c r="A746" s="212"/>
      <c r="B746" s="213"/>
      <c r="C746" s="213"/>
      <c r="D746" s="213"/>
      <c r="E746" s="213"/>
      <c r="F746" s="213"/>
      <c r="G746" s="213"/>
      <c r="H746" s="213"/>
    </row>
    <row r="747" spans="1:8">
      <c r="A747" s="212"/>
      <c r="B747" s="213"/>
      <c r="C747" s="213"/>
      <c r="D747" s="213"/>
      <c r="E747" s="213"/>
      <c r="F747" s="213"/>
      <c r="G747" s="213"/>
      <c r="H747" s="213"/>
    </row>
    <row r="748" spans="1:8">
      <c r="A748" s="212"/>
      <c r="B748" s="213"/>
      <c r="C748" s="213"/>
      <c r="D748" s="213"/>
      <c r="E748" s="213"/>
      <c r="F748" s="213"/>
      <c r="G748" s="213"/>
      <c r="H748" s="213"/>
    </row>
    <row r="749" spans="1:8">
      <c r="A749" s="212"/>
      <c r="B749" s="213"/>
      <c r="C749" s="213"/>
      <c r="D749" s="213"/>
      <c r="E749" s="213"/>
      <c r="F749" s="213"/>
      <c r="G749" s="213"/>
      <c r="H749" s="213"/>
    </row>
    <row r="750" spans="1:8">
      <c r="A750" s="212"/>
      <c r="B750" s="213"/>
      <c r="C750" s="213"/>
      <c r="D750" s="213"/>
      <c r="E750" s="213"/>
      <c r="F750" s="213"/>
      <c r="G750" s="213"/>
      <c r="H750" s="213"/>
    </row>
    <row r="751" spans="1:8">
      <c r="A751" s="212"/>
      <c r="B751" s="213"/>
      <c r="C751" s="213"/>
      <c r="D751" s="213"/>
      <c r="E751" s="213"/>
      <c r="F751" s="213"/>
      <c r="G751" s="213"/>
      <c r="H751" s="213"/>
    </row>
    <row r="752" spans="1:8">
      <c r="A752" s="212"/>
      <c r="B752" s="213"/>
      <c r="C752" s="213"/>
      <c r="D752" s="213"/>
      <c r="E752" s="213"/>
      <c r="F752" s="213"/>
      <c r="G752" s="213"/>
      <c r="H752" s="213"/>
    </row>
    <row r="753" spans="1:8">
      <c r="A753" s="212"/>
      <c r="B753" s="213"/>
      <c r="C753" s="213"/>
      <c r="D753" s="213"/>
      <c r="E753" s="213"/>
      <c r="F753" s="213"/>
      <c r="G753" s="213"/>
      <c r="H753" s="213"/>
    </row>
    <row r="754" spans="1:8">
      <c r="A754" s="212"/>
      <c r="B754" s="213"/>
      <c r="C754" s="213"/>
      <c r="D754" s="213"/>
      <c r="E754" s="213"/>
      <c r="F754" s="213"/>
      <c r="G754" s="213"/>
      <c r="H754" s="213"/>
    </row>
    <row r="755" spans="1:8">
      <c r="A755" s="212"/>
      <c r="B755" s="213"/>
      <c r="C755" s="213"/>
      <c r="D755" s="213"/>
      <c r="E755" s="213"/>
      <c r="F755" s="213"/>
      <c r="G755" s="213"/>
      <c r="H755" s="213"/>
    </row>
    <row r="756" spans="1:8">
      <c r="A756" s="212"/>
      <c r="B756" s="213"/>
      <c r="C756" s="213"/>
      <c r="D756" s="213"/>
      <c r="E756" s="213"/>
      <c r="F756" s="213"/>
      <c r="G756" s="213"/>
      <c r="H756" s="213"/>
    </row>
    <row r="757" spans="1:8">
      <c r="A757" s="212"/>
      <c r="B757" s="213"/>
      <c r="C757" s="213"/>
      <c r="D757" s="213"/>
      <c r="E757" s="213"/>
      <c r="F757" s="213"/>
      <c r="G757" s="213"/>
      <c r="H757" s="213"/>
    </row>
    <row r="758" spans="1:8">
      <c r="A758" s="212"/>
      <c r="B758" s="213"/>
      <c r="C758" s="213"/>
      <c r="D758" s="213"/>
      <c r="E758" s="213"/>
      <c r="F758" s="213"/>
      <c r="G758" s="213"/>
      <c r="H758" s="213"/>
    </row>
    <row r="759" spans="1:8">
      <c r="A759" s="212"/>
      <c r="B759" s="213"/>
      <c r="C759" s="213"/>
      <c r="D759" s="213"/>
      <c r="E759" s="213"/>
      <c r="F759" s="213"/>
      <c r="G759" s="213"/>
      <c r="H759" s="213"/>
    </row>
    <row r="760" spans="1:8">
      <c r="A760" s="212"/>
      <c r="B760" s="213"/>
      <c r="C760" s="213"/>
      <c r="D760" s="213"/>
      <c r="E760" s="213"/>
      <c r="F760" s="213"/>
      <c r="G760" s="213"/>
      <c r="H760" s="213"/>
    </row>
    <row r="761" spans="1:8">
      <c r="A761" s="212"/>
      <c r="B761" s="213"/>
      <c r="C761" s="213"/>
      <c r="D761" s="213"/>
      <c r="E761" s="213"/>
      <c r="F761" s="213"/>
      <c r="G761" s="213"/>
      <c r="H761" s="213"/>
    </row>
    <row r="762" spans="1:8">
      <c r="A762" s="212"/>
      <c r="B762" s="213"/>
      <c r="C762" s="213"/>
      <c r="D762" s="213"/>
      <c r="E762" s="213"/>
      <c r="F762" s="213"/>
      <c r="G762" s="213"/>
      <c r="H762" s="213"/>
    </row>
    <row r="763" spans="1:8">
      <c r="A763" s="212"/>
      <c r="B763" s="213"/>
      <c r="C763" s="213"/>
      <c r="D763" s="213"/>
      <c r="E763" s="213"/>
      <c r="F763" s="213"/>
      <c r="G763" s="213"/>
      <c r="H763" s="213"/>
    </row>
    <row r="764" spans="1:8">
      <c r="A764" s="212"/>
      <c r="B764" s="213"/>
      <c r="C764" s="213"/>
      <c r="D764" s="213"/>
      <c r="E764" s="213"/>
      <c r="F764" s="213"/>
      <c r="G764" s="213"/>
      <c r="H764" s="213"/>
    </row>
    <row r="765" spans="1:8">
      <c r="A765" s="212"/>
      <c r="B765" s="213"/>
      <c r="C765" s="213"/>
      <c r="D765" s="213"/>
      <c r="E765" s="213"/>
      <c r="F765" s="213"/>
      <c r="G765" s="213"/>
      <c r="H765" s="213"/>
    </row>
    <row r="766" spans="1:8">
      <c r="A766" s="212"/>
      <c r="B766" s="213"/>
      <c r="C766" s="213"/>
      <c r="D766" s="213"/>
      <c r="E766" s="213"/>
      <c r="F766" s="213"/>
      <c r="G766" s="213"/>
      <c r="H766" s="213"/>
    </row>
    <row r="767" spans="1:8">
      <c r="A767" s="212"/>
      <c r="B767" s="213"/>
      <c r="C767" s="213"/>
      <c r="D767" s="213"/>
      <c r="E767" s="213"/>
      <c r="F767" s="213"/>
      <c r="G767" s="213"/>
      <c r="H767" s="213"/>
    </row>
    <row r="768" spans="1:8">
      <c r="A768" s="212"/>
      <c r="B768" s="213"/>
      <c r="C768" s="213"/>
      <c r="D768" s="213"/>
      <c r="E768" s="213"/>
      <c r="F768" s="213"/>
      <c r="G768" s="213"/>
      <c r="H768" s="213"/>
    </row>
    <row r="769" spans="1:8">
      <c r="A769" s="212"/>
      <c r="B769" s="213"/>
      <c r="C769" s="213"/>
      <c r="D769" s="213"/>
      <c r="E769" s="213"/>
      <c r="F769" s="213"/>
      <c r="G769" s="213"/>
      <c r="H769" s="213"/>
    </row>
    <row r="770" spans="1:8">
      <c r="A770" s="212"/>
      <c r="B770" s="213"/>
      <c r="C770" s="213"/>
      <c r="D770" s="213"/>
      <c r="E770" s="213"/>
      <c r="F770" s="213"/>
      <c r="G770" s="213"/>
      <c r="H770" s="213"/>
    </row>
    <row r="771" spans="1:8">
      <c r="A771" s="212"/>
      <c r="B771" s="213"/>
      <c r="C771" s="213"/>
      <c r="D771" s="213"/>
      <c r="E771" s="213"/>
      <c r="F771" s="213"/>
      <c r="G771" s="213"/>
      <c r="H771" s="213"/>
    </row>
    <row r="772" spans="1:8">
      <c r="A772" s="212"/>
      <c r="B772" s="213"/>
      <c r="C772" s="213"/>
      <c r="D772" s="213"/>
      <c r="E772" s="213"/>
      <c r="F772" s="213"/>
      <c r="G772" s="213"/>
      <c r="H772" s="213"/>
    </row>
    <row r="773" spans="1:8">
      <c r="A773" s="212"/>
      <c r="B773" s="213"/>
      <c r="C773" s="213"/>
      <c r="D773" s="213"/>
      <c r="E773" s="213"/>
      <c r="F773" s="213"/>
      <c r="G773" s="213"/>
      <c r="H773" s="213"/>
    </row>
    <row r="774" spans="1:8">
      <c r="A774" s="212"/>
      <c r="B774" s="213"/>
      <c r="C774" s="213"/>
      <c r="D774" s="213"/>
      <c r="E774" s="213"/>
      <c r="F774" s="213"/>
      <c r="G774" s="213"/>
      <c r="H774" s="213"/>
    </row>
    <row r="775" spans="1:8">
      <c r="A775" s="212"/>
      <c r="B775" s="213"/>
      <c r="C775" s="213"/>
      <c r="D775" s="213"/>
      <c r="E775" s="213"/>
      <c r="F775" s="213"/>
      <c r="G775" s="213"/>
      <c r="H775" s="213"/>
    </row>
    <row r="776" spans="1:8">
      <c r="A776" s="212"/>
      <c r="B776" s="213"/>
      <c r="C776" s="213"/>
      <c r="D776" s="213"/>
      <c r="E776" s="213"/>
      <c r="F776" s="213"/>
      <c r="G776" s="213"/>
      <c r="H776" s="213"/>
    </row>
    <row r="777" spans="1:8">
      <c r="A777" s="212"/>
      <c r="B777" s="213"/>
      <c r="C777" s="213"/>
      <c r="D777" s="213"/>
      <c r="E777" s="213"/>
      <c r="F777" s="213"/>
      <c r="G777" s="213"/>
      <c r="H777" s="213"/>
    </row>
    <row r="778" spans="1:8">
      <c r="A778" s="212"/>
      <c r="B778" s="213"/>
      <c r="C778" s="213"/>
      <c r="D778" s="213"/>
      <c r="E778" s="213"/>
      <c r="F778" s="213"/>
      <c r="G778" s="213"/>
      <c r="H778" s="213"/>
    </row>
    <row r="779" spans="1:8">
      <c r="A779" s="212"/>
      <c r="B779" s="213"/>
      <c r="C779" s="213"/>
      <c r="D779" s="213"/>
      <c r="E779" s="213"/>
      <c r="F779" s="213"/>
      <c r="G779" s="213"/>
      <c r="H779" s="213"/>
    </row>
    <row r="780" spans="1:8">
      <c r="A780" s="212"/>
      <c r="B780" s="213"/>
      <c r="C780" s="213"/>
      <c r="D780" s="213"/>
      <c r="E780" s="213"/>
      <c r="F780" s="213"/>
      <c r="G780" s="213"/>
      <c r="H780" s="213"/>
    </row>
    <row r="781" spans="1:8">
      <c r="A781" s="212"/>
      <c r="B781" s="213"/>
      <c r="C781" s="213"/>
      <c r="D781" s="213"/>
      <c r="E781" s="213"/>
      <c r="F781" s="213"/>
      <c r="G781" s="213"/>
      <c r="H781" s="213"/>
    </row>
    <row r="782" spans="1:8">
      <c r="A782" s="212"/>
      <c r="B782" s="213"/>
      <c r="C782" s="213"/>
      <c r="D782" s="213"/>
      <c r="E782" s="213"/>
      <c r="F782" s="213"/>
      <c r="G782" s="213"/>
      <c r="H782" s="213"/>
    </row>
    <row r="783" spans="1:8">
      <c r="A783" s="212"/>
      <c r="B783" s="213"/>
      <c r="C783" s="213"/>
      <c r="D783" s="213"/>
      <c r="E783" s="213"/>
      <c r="F783" s="213"/>
      <c r="G783" s="213"/>
      <c r="H783" s="213"/>
    </row>
    <row r="784" spans="1:8">
      <c r="A784" s="212"/>
      <c r="B784" s="213"/>
      <c r="C784" s="213"/>
      <c r="D784" s="213"/>
      <c r="E784" s="213"/>
      <c r="F784" s="213"/>
      <c r="G784" s="213"/>
      <c r="H784" s="213"/>
    </row>
    <row r="785" spans="1:8">
      <c r="A785" s="212"/>
      <c r="B785" s="213"/>
      <c r="C785" s="213"/>
      <c r="D785" s="213"/>
      <c r="E785" s="213"/>
      <c r="F785" s="213"/>
      <c r="G785" s="213"/>
      <c r="H785" s="213"/>
    </row>
    <row r="786" spans="1:8">
      <c r="A786" s="212"/>
      <c r="B786" s="213"/>
      <c r="C786" s="213"/>
      <c r="D786" s="213"/>
      <c r="E786" s="213"/>
      <c r="F786" s="213"/>
      <c r="G786" s="213"/>
      <c r="H786" s="213"/>
    </row>
    <row r="787" spans="1:8">
      <c r="A787" s="212"/>
      <c r="B787" s="213"/>
      <c r="C787" s="213"/>
      <c r="D787" s="213"/>
      <c r="E787" s="213"/>
      <c r="F787" s="213"/>
      <c r="G787" s="213"/>
      <c r="H787" s="213"/>
    </row>
    <row r="788" spans="1:8">
      <c r="A788" s="212"/>
      <c r="B788" s="213"/>
      <c r="C788" s="213"/>
      <c r="D788" s="213"/>
      <c r="E788" s="213"/>
      <c r="F788" s="213"/>
      <c r="G788" s="213"/>
      <c r="H788" s="213"/>
    </row>
    <row r="789" spans="1:8">
      <c r="A789" s="212"/>
      <c r="B789" s="213"/>
      <c r="C789" s="213"/>
      <c r="D789" s="213"/>
      <c r="E789" s="213"/>
      <c r="F789" s="213"/>
      <c r="G789" s="213"/>
      <c r="H789" s="213"/>
    </row>
    <row r="790" spans="1:8">
      <c r="A790" s="212"/>
      <c r="B790" s="213"/>
      <c r="C790" s="213"/>
      <c r="D790" s="213"/>
      <c r="E790" s="213"/>
      <c r="F790" s="213"/>
      <c r="G790" s="213"/>
      <c r="H790" s="213"/>
    </row>
    <row r="791" spans="1:8">
      <c r="A791" s="212"/>
      <c r="B791" s="213"/>
      <c r="C791" s="213"/>
      <c r="D791" s="213"/>
      <c r="E791" s="213"/>
      <c r="F791" s="213"/>
      <c r="G791" s="213"/>
      <c r="H791" s="213"/>
    </row>
    <row r="792" spans="1:8">
      <c r="A792" s="212"/>
      <c r="B792" s="213"/>
      <c r="C792" s="213"/>
      <c r="D792" s="213"/>
      <c r="E792" s="213"/>
      <c r="F792" s="213"/>
      <c r="G792" s="213"/>
      <c r="H792" s="213"/>
    </row>
    <row r="793" spans="1:8">
      <c r="A793" s="212"/>
      <c r="B793" s="213"/>
      <c r="C793" s="213"/>
      <c r="D793" s="213"/>
      <c r="E793" s="213"/>
      <c r="F793" s="213"/>
      <c r="G793" s="213"/>
      <c r="H793" s="213"/>
    </row>
    <row r="794" spans="1:8">
      <c r="A794" s="212"/>
      <c r="B794" s="213"/>
      <c r="C794" s="213"/>
      <c r="D794" s="213"/>
      <c r="E794" s="213"/>
      <c r="F794" s="213"/>
      <c r="G794" s="213"/>
      <c r="H794" s="213"/>
    </row>
    <row r="795" spans="1:8">
      <c r="A795" s="212"/>
      <c r="B795" s="213"/>
      <c r="C795" s="213"/>
      <c r="D795" s="213"/>
      <c r="E795" s="213"/>
      <c r="F795" s="213"/>
      <c r="G795" s="213"/>
      <c r="H795" s="213"/>
    </row>
    <row r="796" spans="1:8">
      <c r="A796" s="212"/>
      <c r="B796" s="213"/>
      <c r="C796" s="213"/>
      <c r="D796" s="213"/>
      <c r="E796" s="213"/>
      <c r="F796" s="213"/>
      <c r="G796" s="213"/>
      <c r="H796" s="213"/>
    </row>
    <row r="797" spans="1:8">
      <c r="A797" s="212"/>
      <c r="B797" s="213"/>
      <c r="C797" s="213"/>
      <c r="D797" s="213"/>
      <c r="E797" s="213"/>
      <c r="F797" s="213"/>
      <c r="G797" s="213"/>
      <c r="H797" s="213"/>
    </row>
    <row r="798" spans="1:8">
      <c r="A798" s="212"/>
      <c r="B798" s="213"/>
      <c r="C798" s="213"/>
      <c r="D798" s="213"/>
      <c r="E798" s="213"/>
      <c r="F798" s="213"/>
      <c r="G798" s="213"/>
      <c r="H798" s="213"/>
    </row>
    <row r="799" spans="1:8">
      <c r="A799" s="212"/>
      <c r="B799" s="213"/>
      <c r="C799" s="213"/>
      <c r="D799" s="213"/>
      <c r="E799" s="213"/>
      <c r="F799" s="213"/>
      <c r="G799" s="213"/>
      <c r="H799" s="213"/>
    </row>
    <row r="800" spans="1:8">
      <c r="A800" s="212"/>
      <c r="B800" s="213"/>
      <c r="C800" s="213"/>
      <c r="D800" s="213"/>
      <c r="E800" s="213"/>
      <c r="F800" s="213"/>
      <c r="G800" s="213"/>
      <c r="H800" s="213"/>
    </row>
    <row r="801" spans="1:8">
      <c r="A801" s="212"/>
      <c r="B801" s="213"/>
      <c r="C801" s="213"/>
      <c r="D801" s="213"/>
      <c r="E801" s="213"/>
      <c r="F801" s="213"/>
      <c r="G801" s="213"/>
      <c r="H801" s="213"/>
    </row>
    <row r="802" spans="1:8">
      <c r="A802" s="212"/>
      <c r="B802" s="213"/>
      <c r="C802" s="213"/>
      <c r="D802" s="213"/>
      <c r="E802" s="213"/>
      <c r="F802" s="213"/>
      <c r="G802" s="213"/>
      <c r="H802" s="213"/>
    </row>
    <row r="803" spans="1:8">
      <c r="A803" s="212"/>
      <c r="B803" s="213"/>
      <c r="C803" s="213"/>
      <c r="D803" s="213"/>
      <c r="E803" s="213"/>
      <c r="F803" s="213"/>
      <c r="G803" s="213"/>
      <c r="H803" s="213"/>
    </row>
    <row r="804" spans="1:8">
      <c r="A804" s="212"/>
      <c r="B804" s="213"/>
      <c r="C804" s="213"/>
      <c r="D804" s="213"/>
      <c r="E804" s="213"/>
      <c r="F804" s="213"/>
      <c r="G804" s="213"/>
      <c r="H804" s="213"/>
    </row>
    <row r="805" spans="1:8">
      <c r="A805" s="212"/>
      <c r="B805" s="213"/>
      <c r="C805" s="213"/>
      <c r="D805" s="213"/>
      <c r="E805" s="213"/>
      <c r="F805" s="213"/>
      <c r="G805" s="213"/>
      <c r="H805" s="213"/>
    </row>
    <row r="806" spans="1:8">
      <c r="A806" s="212"/>
      <c r="B806" s="213"/>
      <c r="C806" s="213"/>
      <c r="D806" s="213"/>
      <c r="E806" s="213"/>
      <c r="F806" s="213"/>
      <c r="G806" s="213"/>
      <c r="H806" s="213"/>
    </row>
    <row r="807" spans="1:8">
      <c r="A807" s="212"/>
      <c r="B807" s="213"/>
      <c r="C807" s="213"/>
      <c r="D807" s="213"/>
      <c r="E807" s="213"/>
      <c r="F807" s="213"/>
      <c r="G807" s="213"/>
      <c r="H807" s="213"/>
    </row>
    <row r="808" spans="1:8">
      <c r="A808" s="212"/>
      <c r="B808" s="213"/>
      <c r="C808" s="213"/>
      <c r="D808" s="213"/>
      <c r="E808" s="213"/>
      <c r="F808" s="213"/>
      <c r="G808" s="213"/>
      <c r="H808" s="213"/>
    </row>
    <row r="809" spans="1:8">
      <c r="A809" s="212"/>
      <c r="B809" s="213"/>
      <c r="C809" s="213"/>
      <c r="D809" s="213"/>
      <c r="E809" s="213"/>
      <c r="F809" s="213"/>
      <c r="G809" s="213"/>
      <c r="H809" s="213"/>
    </row>
    <row r="810" spans="1:8">
      <c r="A810" s="212"/>
      <c r="B810" s="213"/>
      <c r="C810" s="213"/>
      <c r="D810" s="213"/>
      <c r="E810" s="213"/>
      <c r="F810" s="213"/>
      <c r="G810" s="213"/>
      <c r="H810" s="213"/>
    </row>
    <row r="811" spans="1:8">
      <c r="A811" s="212"/>
      <c r="B811" s="213"/>
      <c r="C811" s="213"/>
      <c r="D811" s="213"/>
      <c r="E811" s="213"/>
      <c r="F811" s="213"/>
      <c r="G811" s="213"/>
      <c r="H811" s="213"/>
    </row>
    <row r="812" spans="1:8">
      <c r="A812" s="212"/>
      <c r="B812" s="213"/>
      <c r="C812" s="213"/>
      <c r="D812" s="213"/>
      <c r="E812" s="213"/>
      <c r="F812" s="213"/>
      <c r="G812" s="213"/>
      <c r="H812" s="213"/>
    </row>
    <row r="813" spans="1:8">
      <c r="A813" s="212"/>
      <c r="B813" s="213"/>
      <c r="C813" s="213"/>
      <c r="D813" s="213"/>
      <c r="E813" s="213"/>
      <c r="F813" s="213"/>
      <c r="G813" s="213"/>
      <c r="H813" s="213"/>
    </row>
    <row r="814" spans="1:8">
      <c r="A814" s="212"/>
      <c r="B814" s="213"/>
      <c r="C814" s="213"/>
      <c r="D814" s="213"/>
      <c r="E814" s="213"/>
      <c r="F814" s="213"/>
      <c r="G814" s="213"/>
      <c r="H814" s="213"/>
    </row>
    <row r="815" spans="1:8">
      <c r="A815" s="212"/>
      <c r="B815" s="213"/>
      <c r="C815" s="213"/>
      <c r="D815" s="213"/>
      <c r="E815" s="213"/>
      <c r="F815" s="213"/>
      <c r="G815" s="213"/>
      <c r="H815" s="213"/>
    </row>
    <row r="816" spans="1:8">
      <c r="A816" s="212"/>
      <c r="B816" s="213"/>
      <c r="C816" s="213"/>
      <c r="D816" s="213"/>
      <c r="E816" s="213"/>
      <c r="F816" s="213"/>
      <c r="G816" s="213"/>
      <c r="H816" s="213"/>
    </row>
    <row r="817" spans="1:8">
      <c r="A817" s="212"/>
      <c r="B817" s="213"/>
      <c r="C817" s="213"/>
      <c r="D817" s="213"/>
      <c r="E817" s="213"/>
      <c r="F817" s="213"/>
      <c r="G817" s="213"/>
      <c r="H817" s="213"/>
    </row>
    <row r="818" spans="1:8">
      <c r="A818" s="212"/>
      <c r="B818" s="213"/>
      <c r="C818" s="213"/>
      <c r="D818" s="213"/>
      <c r="E818" s="213"/>
      <c r="F818" s="213"/>
      <c r="G818" s="213"/>
      <c r="H818" s="213"/>
    </row>
    <row r="819" spans="1:8">
      <c r="A819" s="212"/>
      <c r="B819" s="213"/>
      <c r="C819" s="213"/>
      <c r="D819" s="213"/>
      <c r="E819" s="213"/>
      <c r="F819" s="213"/>
      <c r="G819" s="213"/>
      <c r="H819" s="213"/>
    </row>
    <row r="820" spans="1:8">
      <c r="A820" s="212"/>
      <c r="B820" s="213"/>
      <c r="C820" s="213"/>
      <c r="D820" s="213"/>
      <c r="E820" s="213"/>
      <c r="F820" s="213"/>
      <c r="G820" s="213"/>
      <c r="H820" s="213"/>
    </row>
    <row r="821" spans="1:8">
      <c r="A821" s="212"/>
      <c r="B821" s="213"/>
      <c r="C821" s="213"/>
      <c r="D821" s="213"/>
      <c r="E821" s="213"/>
      <c r="F821" s="213"/>
      <c r="G821" s="213"/>
      <c r="H821" s="213"/>
    </row>
    <row r="822" spans="1:8">
      <c r="A822" s="212"/>
      <c r="B822" s="213"/>
      <c r="C822" s="213"/>
      <c r="D822" s="213"/>
      <c r="E822" s="213"/>
      <c r="F822" s="213"/>
      <c r="G822" s="213"/>
      <c r="H822" s="213"/>
    </row>
    <row r="823" spans="1:8">
      <c r="A823" s="212"/>
      <c r="B823" s="213"/>
      <c r="C823" s="213"/>
      <c r="D823" s="213"/>
      <c r="E823" s="213"/>
      <c r="F823" s="213"/>
      <c r="G823" s="213"/>
      <c r="H823" s="213"/>
    </row>
    <row r="824" spans="1:8">
      <c r="A824" s="212"/>
      <c r="B824" s="213"/>
      <c r="C824" s="213"/>
      <c r="D824" s="213"/>
      <c r="E824" s="213"/>
      <c r="F824" s="213"/>
      <c r="G824" s="213"/>
      <c r="H824" s="213"/>
    </row>
    <row r="825" spans="1:8">
      <c r="A825" s="212"/>
      <c r="B825" s="213"/>
      <c r="C825" s="213"/>
      <c r="D825" s="213"/>
      <c r="E825" s="213"/>
      <c r="F825" s="213"/>
      <c r="G825" s="213"/>
      <c r="H825" s="213"/>
    </row>
    <row r="826" spans="1:8">
      <c r="A826" s="212"/>
      <c r="B826" s="213"/>
      <c r="C826" s="213"/>
      <c r="D826" s="213"/>
      <c r="E826" s="213"/>
      <c r="F826" s="213"/>
      <c r="G826" s="213"/>
      <c r="H826" s="213"/>
    </row>
    <row r="827" spans="1:8">
      <c r="A827" s="212"/>
      <c r="B827" s="213"/>
      <c r="C827" s="213"/>
      <c r="D827" s="213"/>
      <c r="E827" s="213"/>
      <c r="F827" s="213"/>
      <c r="G827" s="213"/>
      <c r="H827" s="213"/>
    </row>
    <row r="828" spans="1:8">
      <c r="A828" s="212"/>
      <c r="B828" s="213"/>
      <c r="C828" s="213"/>
      <c r="D828" s="213"/>
      <c r="E828" s="213"/>
      <c r="F828" s="213"/>
      <c r="G828" s="213"/>
      <c r="H828" s="213"/>
    </row>
    <row r="829" spans="1:8">
      <c r="A829" s="212"/>
      <c r="B829" s="213"/>
      <c r="C829" s="213"/>
      <c r="D829" s="213"/>
      <c r="E829" s="213"/>
      <c r="F829" s="213"/>
      <c r="G829" s="213"/>
      <c r="H829" s="213"/>
    </row>
    <row r="830" spans="1:8">
      <c r="A830" s="212"/>
      <c r="B830" s="213"/>
      <c r="C830" s="213"/>
      <c r="D830" s="213"/>
      <c r="E830" s="213"/>
      <c r="F830" s="213"/>
      <c r="G830" s="213"/>
      <c r="H830" s="213"/>
    </row>
    <row r="831" spans="1:8">
      <c r="A831" s="212"/>
      <c r="B831" s="213"/>
      <c r="C831" s="213"/>
      <c r="D831" s="213"/>
      <c r="E831" s="213"/>
      <c r="F831" s="213"/>
      <c r="G831" s="213"/>
      <c r="H831" s="213"/>
    </row>
    <row r="832" spans="1:8">
      <c r="A832" s="212"/>
      <c r="B832" s="213"/>
      <c r="C832" s="213"/>
      <c r="D832" s="213"/>
      <c r="E832" s="213"/>
      <c r="F832" s="213"/>
      <c r="G832" s="213"/>
      <c r="H832" s="213"/>
    </row>
    <row r="833" spans="1:8">
      <c r="A833" s="212"/>
      <c r="B833" s="213"/>
      <c r="C833" s="213"/>
      <c r="D833" s="213"/>
      <c r="E833" s="213"/>
      <c r="F833" s="213"/>
      <c r="G833" s="213"/>
      <c r="H833" s="213"/>
    </row>
    <row r="834" spans="1:8">
      <c r="A834" s="212"/>
      <c r="B834" s="213"/>
      <c r="C834" s="213"/>
      <c r="D834" s="213"/>
      <c r="E834" s="213"/>
      <c r="F834" s="213"/>
      <c r="G834" s="213"/>
      <c r="H834" s="213"/>
    </row>
    <row r="835" spans="1:8">
      <c r="A835" s="212"/>
      <c r="B835" s="213"/>
      <c r="C835" s="213"/>
      <c r="D835" s="213"/>
      <c r="E835" s="213"/>
      <c r="F835" s="213"/>
      <c r="G835" s="213"/>
      <c r="H835" s="213"/>
    </row>
    <row r="836" spans="1:8">
      <c r="A836" s="212"/>
      <c r="B836" s="213"/>
      <c r="C836" s="213"/>
      <c r="D836" s="213"/>
      <c r="E836" s="213"/>
      <c r="F836" s="213"/>
      <c r="G836" s="213"/>
      <c r="H836" s="213"/>
    </row>
    <row r="837" spans="1:8">
      <c r="A837" s="212"/>
      <c r="B837" s="213"/>
      <c r="C837" s="213"/>
      <c r="D837" s="213"/>
      <c r="E837" s="213"/>
      <c r="F837" s="213"/>
      <c r="G837" s="213"/>
      <c r="H837" s="213"/>
    </row>
    <row r="838" spans="1:8">
      <c r="A838" s="212"/>
      <c r="B838" s="213"/>
      <c r="C838" s="213"/>
      <c r="D838" s="213"/>
      <c r="E838" s="213"/>
      <c r="F838" s="213"/>
      <c r="G838" s="213"/>
      <c r="H838" s="213"/>
    </row>
    <row r="839" spans="1:8">
      <c r="A839" s="212"/>
      <c r="B839" s="213"/>
      <c r="C839" s="213"/>
      <c r="D839" s="213"/>
      <c r="E839" s="213"/>
      <c r="F839" s="213"/>
      <c r="G839" s="213"/>
      <c r="H839" s="213"/>
    </row>
    <row r="840" spans="1:8">
      <c r="A840" s="212"/>
      <c r="B840" s="213"/>
      <c r="C840" s="213"/>
      <c r="D840" s="213"/>
      <c r="E840" s="213"/>
      <c r="F840" s="213"/>
      <c r="G840" s="213"/>
      <c r="H840" s="213"/>
    </row>
    <row r="841" spans="1:8">
      <c r="A841" s="212"/>
      <c r="B841" s="213"/>
      <c r="C841" s="213"/>
      <c r="D841" s="213"/>
      <c r="E841" s="213"/>
      <c r="F841" s="213"/>
      <c r="G841" s="213"/>
      <c r="H841" s="213"/>
    </row>
    <row r="842" spans="1:8">
      <c r="A842" s="212"/>
      <c r="B842" s="213"/>
      <c r="C842" s="213"/>
      <c r="D842" s="213"/>
      <c r="E842" s="213"/>
      <c r="F842" s="213"/>
      <c r="G842" s="213"/>
      <c r="H842" s="213"/>
    </row>
    <row r="843" spans="1:8">
      <c r="A843" s="212"/>
      <c r="B843" s="213"/>
      <c r="C843" s="213"/>
      <c r="D843" s="213"/>
      <c r="E843" s="213"/>
      <c r="F843" s="213"/>
      <c r="G843" s="213"/>
      <c r="H843" s="213"/>
    </row>
    <row r="844" spans="1:8">
      <c r="A844" s="212"/>
      <c r="B844" s="213"/>
      <c r="C844" s="213"/>
      <c r="D844" s="213"/>
      <c r="E844" s="213"/>
      <c r="F844" s="213"/>
      <c r="G844" s="213"/>
      <c r="H844" s="213"/>
    </row>
    <row r="845" spans="1:8">
      <c r="A845" s="212"/>
      <c r="B845" s="213"/>
      <c r="C845" s="213"/>
      <c r="D845" s="213"/>
      <c r="E845" s="213"/>
      <c r="F845" s="213"/>
      <c r="G845" s="213"/>
      <c r="H845" s="213"/>
    </row>
    <row r="846" spans="1:8">
      <c r="A846" s="212"/>
      <c r="B846" s="213"/>
      <c r="C846" s="213"/>
      <c r="D846" s="213"/>
      <c r="E846" s="213"/>
      <c r="F846" s="213"/>
      <c r="G846" s="213"/>
      <c r="H846" s="213"/>
    </row>
    <row r="847" spans="1:8">
      <c r="A847" s="212"/>
      <c r="B847" s="213"/>
      <c r="C847" s="213"/>
      <c r="D847" s="213"/>
      <c r="E847" s="213"/>
      <c r="F847" s="213"/>
      <c r="G847" s="213"/>
      <c r="H847" s="213"/>
    </row>
    <row r="848" spans="1:8">
      <c r="A848" s="212"/>
      <c r="B848" s="213"/>
      <c r="C848" s="213"/>
      <c r="D848" s="213"/>
      <c r="E848" s="213"/>
      <c r="F848" s="213"/>
      <c r="G848" s="213"/>
      <c r="H848" s="213"/>
    </row>
    <row r="849" spans="1:8">
      <c r="A849" s="212"/>
      <c r="B849" s="213"/>
      <c r="C849" s="213"/>
      <c r="D849" s="213"/>
      <c r="E849" s="213"/>
      <c r="F849" s="213"/>
      <c r="G849" s="213"/>
      <c r="H849" s="213"/>
    </row>
    <row r="850" spans="1:8">
      <c r="A850" s="212"/>
      <c r="B850" s="213"/>
      <c r="C850" s="213"/>
      <c r="D850" s="213"/>
      <c r="E850" s="213"/>
      <c r="F850" s="213"/>
      <c r="G850" s="213"/>
      <c r="H850" s="213"/>
    </row>
    <row r="851" spans="1:8">
      <c r="A851" s="212"/>
      <c r="B851" s="213"/>
      <c r="C851" s="213"/>
      <c r="D851" s="213"/>
      <c r="E851" s="213"/>
      <c r="F851" s="213"/>
      <c r="G851" s="213"/>
      <c r="H851" s="213"/>
    </row>
    <row r="852" spans="1:8">
      <c r="A852" s="212"/>
      <c r="B852" s="213"/>
      <c r="C852" s="213"/>
      <c r="D852" s="213"/>
      <c r="E852" s="213"/>
      <c r="F852" s="213"/>
      <c r="G852" s="213"/>
      <c r="H852" s="213"/>
    </row>
    <row r="853" spans="1:8">
      <c r="A853" s="212"/>
      <c r="B853" s="213"/>
      <c r="C853" s="213"/>
      <c r="D853" s="213"/>
      <c r="E853" s="213"/>
      <c r="F853" s="213"/>
      <c r="G853" s="213"/>
      <c r="H853" s="213"/>
    </row>
    <row r="854" spans="1:8">
      <c r="A854" s="212"/>
      <c r="B854" s="213"/>
      <c r="C854" s="213"/>
      <c r="D854" s="213"/>
      <c r="E854" s="213"/>
      <c r="F854" s="213"/>
      <c r="G854" s="213"/>
      <c r="H854" s="213"/>
    </row>
    <row r="855" spans="1:8">
      <c r="A855" s="212"/>
      <c r="B855" s="213"/>
      <c r="C855" s="213"/>
      <c r="D855" s="213"/>
      <c r="E855" s="213"/>
      <c r="F855" s="213"/>
      <c r="G855" s="213"/>
      <c r="H855" s="213"/>
    </row>
    <row r="856" spans="1:8">
      <c r="A856" s="212"/>
      <c r="B856" s="213"/>
      <c r="C856" s="213"/>
      <c r="D856" s="213"/>
      <c r="E856" s="213"/>
      <c r="F856" s="213"/>
      <c r="G856" s="213"/>
      <c r="H856" s="213"/>
    </row>
    <row r="857" spans="1:8">
      <c r="A857" s="212"/>
      <c r="B857" s="213"/>
      <c r="C857" s="213"/>
      <c r="D857" s="213"/>
      <c r="E857" s="213"/>
      <c r="F857" s="213"/>
      <c r="G857" s="213"/>
      <c r="H857" s="213"/>
    </row>
    <row r="858" spans="1:8">
      <c r="A858" s="212"/>
      <c r="B858" s="213"/>
      <c r="C858" s="213"/>
      <c r="D858" s="213"/>
      <c r="E858" s="213"/>
      <c r="F858" s="213"/>
      <c r="G858" s="213"/>
      <c r="H858" s="213"/>
    </row>
    <row r="859" spans="1:8">
      <c r="A859" s="212"/>
      <c r="B859" s="213"/>
      <c r="C859" s="213"/>
      <c r="D859" s="213"/>
      <c r="E859" s="213"/>
      <c r="F859" s="213"/>
      <c r="G859" s="213"/>
      <c r="H859" s="213"/>
    </row>
    <row r="860" spans="1:8">
      <c r="A860" s="212"/>
      <c r="B860" s="213"/>
      <c r="C860" s="213"/>
      <c r="D860" s="213"/>
      <c r="E860" s="213"/>
      <c r="F860" s="213"/>
      <c r="G860" s="213"/>
      <c r="H860" s="213"/>
    </row>
    <row r="861" spans="1:8">
      <c r="A861" s="212"/>
      <c r="B861" s="213"/>
      <c r="C861" s="213"/>
      <c r="D861" s="213"/>
      <c r="E861" s="213"/>
      <c r="F861" s="213"/>
      <c r="G861" s="213"/>
      <c r="H861" s="213"/>
    </row>
    <row r="862" spans="1:8">
      <c r="A862" s="212"/>
      <c r="B862" s="213"/>
      <c r="C862" s="213"/>
      <c r="D862" s="213"/>
      <c r="E862" s="213"/>
      <c r="F862" s="213"/>
      <c r="G862" s="213"/>
      <c r="H862" s="213"/>
    </row>
    <row r="863" spans="1:8">
      <c r="A863" s="212"/>
      <c r="B863" s="213"/>
      <c r="C863" s="213"/>
      <c r="D863" s="213"/>
      <c r="E863" s="213"/>
      <c r="F863" s="213"/>
      <c r="G863" s="213"/>
      <c r="H863" s="213"/>
    </row>
    <row r="864" spans="1:8">
      <c r="A864" s="212"/>
      <c r="B864" s="213"/>
      <c r="C864" s="213"/>
      <c r="D864" s="213"/>
      <c r="E864" s="213"/>
      <c r="F864" s="213"/>
      <c r="G864" s="213"/>
      <c r="H864" s="213"/>
    </row>
    <row r="865" spans="1:8">
      <c r="A865" s="212"/>
      <c r="B865" s="213"/>
      <c r="C865" s="213"/>
      <c r="D865" s="213"/>
      <c r="E865" s="213"/>
      <c r="F865" s="213"/>
      <c r="G865" s="213"/>
      <c r="H865" s="213"/>
    </row>
    <row r="866" spans="1:8">
      <c r="A866" s="212"/>
      <c r="B866" s="213"/>
      <c r="C866" s="213"/>
      <c r="D866" s="213"/>
      <c r="E866" s="213"/>
      <c r="F866" s="213"/>
      <c r="G866" s="213"/>
      <c r="H866" s="213"/>
    </row>
    <row r="867" spans="1:8">
      <c r="A867" s="212"/>
      <c r="B867" s="213"/>
      <c r="C867" s="213"/>
      <c r="D867" s="213"/>
      <c r="E867" s="213"/>
      <c r="F867" s="213"/>
      <c r="G867" s="213"/>
      <c r="H867" s="213"/>
    </row>
    <row r="868" spans="1:8">
      <c r="A868" s="212"/>
      <c r="B868" s="213"/>
      <c r="C868" s="213"/>
      <c r="D868" s="213"/>
      <c r="E868" s="213"/>
      <c r="F868" s="213"/>
      <c r="G868" s="213"/>
      <c r="H868" s="213"/>
    </row>
    <row r="869" spans="1:8">
      <c r="A869" s="212"/>
      <c r="B869" s="213"/>
      <c r="C869" s="213"/>
      <c r="D869" s="213"/>
      <c r="E869" s="213"/>
      <c r="F869" s="213"/>
      <c r="G869" s="213"/>
      <c r="H869" s="213"/>
    </row>
    <row r="870" spans="1:8">
      <c r="A870" s="212"/>
      <c r="B870" s="213"/>
      <c r="C870" s="213"/>
      <c r="D870" s="213"/>
      <c r="E870" s="213"/>
      <c r="F870" s="213"/>
      <c r="G870" s="213"/>
      <c r="H870" s="213"/>
    </row>
    <row r="871" spans="1:8">
      <c r="A871" s="212"/>
      <c r="B871" s="213"/>
      <c r="C871" s="213"/>
      <c r="D871" s="213"/>
      <c r="E871" s="213"/>
      <c r="F871" s="213"/>
      <c r="G871" s="213"/>
      <c r="H871" s="213"/>
    </row>
    <row r="872" spans="1:8">
      <c r="A872" s="212"/>
      <c r="B872" s="213"/>
      <c r="C872" s="213"/>
      <c r="D872" s="213"/>
      <c r="E872" s="213"/>
      <c r="F872" s="213"/>
      <c r="G872" s="213"/>
      <c r="H872" s="213"/>
    </row>
    <row r="873" spans="1:8">
      <c r="A873" s="212"/>
      <c r="B873" s="213"/>
      <c r="C873" s="213"/>
      <c r="D873" s="213"/>
      <c r="E873" s="213"/>
      <c r="F873" s="213"/>
      <c r="G873" s="213"/>
      <c r="H873" s="213"/>
    </row>
    <row r="874" spans="1:8">
      <c r="A874" s="212"/>
      <c r="B874" s="213"/>
      <c r="C874" s="213"/>
      <c r="D874" s="213"/>
      <c r="E874" s="213"/>
      <c r="F874" s="213"/>
      <c r="G874" s="213"/>
      <c r="H874" s="213"/>
    </row>
    <row r="875" spans="1:8">
      <c r="A875" s="212"/>
      <c r="B875" s="213"/>
      <c r="C875" s="213"/>
      <c r="D875" s="213"/>
      <c r="E875" s="213"/>
      <c r="F875" s="213"/>
      <c r="G875" s="213"/>
      <c r="H875" s="213"/>
    </row>
    <row r="876" spans="1:8">
      <c r="A876" s="212"/>
      <c r="B876" s="213"/>
      <c r="C876" s="213"/>
      <c r="D876" s="213"/>
      <c r="E876" s="213"/>
      <c r="F876" s="213"/>
      <c r="G876" s="213"/>
      <c r="H876" s="213"/>
    </row>
    <row r="877" spans="1:8">
      <c r="A877" s="212"/>
      <c r="B877" s="213"/>
      <c r="C877" s="213"/>
      <c r="D877" s="213"/>
      <c r="E877" s="213"/>
      <c r="F877" s="213"/>
      <c r="G877" s="213"/>
      <c r="H877" s="213"/>
    </row>
    <row r="878" spans="1:8">
      <c r="A878" s="212"/>
      <c r="B878" s="213"/>
      <c r="C878" s="213"/>
      <c r="D878" s="213"/>
      <c r="E878" s="213"/>
      <c r="F878" s="213"/>
      <c r="G878" s="213"/>
      <c r="H878" s="213"/>
    </row>
    <row r="879" spans="1:8">
      <c r="A879" s="212"/>
      <c r="B879" s="213"/>
      <c r="C879" s="213"/>
      <c r="D879" s="213"/>
      <c r="E879" s="213"/>
      <c r="F879" s="213"/>
      <c r="G879" s="213"/>
      <c r="H879" s="213"/>
    </row>
    <row r="880" spans="1:8">
      <c r="A880" s="212"/>
      <c r="B880" s="213"/>
      <c r="C880" s="213"/>
      <c r="D880" s="213"/>
      <c r="E880" s="213"/>
      <c r="F880" s="213"/>
      <c r="G880" s="213"/>
      <c r="H880" s="213"/>
    </row>
    <row r="881" spans="1:8">
      <c r="A881" s="212"/>
      <c r="B881" s="213"/>
      <c r="C881" s="213"/>
      <c r="D881" s="213"/>
      <c r="E881" s="213"/>
      <c r="F881" s="213"/>
      <c r="G881" s="213"/>
      <c r="H881" s="213"/>
    </row>
    <row r="882" spans="1:8">
      <c r="A882" s="212"/>
      <c r="B882" s="213"/>
      <c r="C882" s="213"/>
      <c r="D882" s="213"/>
      <c r="E882" s="213"/>
      <c r="F882" s="213"/>
      <c r="G882" s="213"/>
      <c r="H882" s="213"/>
    </row>
    <row r="883" spans="1:8">
      <c r="A883" s="212"/>
      <c r="B883" s="213"/>
      <c r="C883" s="213"/>
      <c r="D883" s="213"/>
      <c r="E883" s="213"/>
      <c r="F883" s="213"/>
      <c r="G883" s="213"/>
      <c r="H883" s="213"/>
    </row>
    <row r="884" spans="1:8">
      <c r="A884" s="212"/>
      <c r="B884" s="213"/>
      <c r="C884" s="213"/>
      <c r="D884" s="213"/>
      <c r="E884" s="213"/>
      <c r="F884" s="213"/>
      <c r="G884" s="213"/>
      <c r="H884" s="213"/>
    </row>
    <row r="885" spans="1:8">
      <c r="A885" s="212"/>
      <c r="B885" s="213"/>
      <c r="C885" s="213"/>
      <c r="D885" s="213"/>
      <c r="E885" s="213"/>
      <c r="F885" s="213"/>
      <c r="G885" s="213"/>
      <c r="H885" s="213"/>
    </row>
    <row r="886" spans="1:8">
      <c r="A886" s="212"/>
      <c r="B886" s="213"/>
      <c r="C886" s="213"/>
      <c r="D886" s="213"/>
      <c r="E886" s="213"/>
      <c r="F886" s="213"/>
      <c r="G886" s="213"/>
      <c r="H886" s="213"/>
    </row>
    <row r="887" spans="1:8">
      <c r="A887" s="212"/>
      <c r="B887" s="213"/>
      <c r="C887" s="213"/>
      <c r="D887" s="213"/>
      <c r="E887" s="213"/>
      <c r="F887" s="213"/>
      <c r="G887" s="213"/>
      <c r="H887" s="213"/>
    </row>
    <row r="888" spans="1:8">
      <c r="A888" s="212"/>
      <c r="B888" s="213"/>
      <c r="C888" s="213"/>
      <c r="D888" s="213"/>
      <c r="E888" s="213"/>
      <c r="F888" s="213"/>
      <c r="G888" s="213"/>
      <c r="H888" s="213"/>
    </row>
    <row r="889" spans="1:8">
      <c r="A889" s="212"/>
      <c r="B889" s="213"/>
      <c r="C889" s="213"/>
      <c r="D889" s="213"/>
      <c r="E889" s="213"/>
      <c r="F889" s="213"/>
      <c r="G889" s="213"/>
      <c r="H889" s="213"/>
    </row>
    <row r="890" spans="1:8">
      <c r="A890" s="212"/>
      <c r="B890" s="213"/>
      <c r="C890" s="213"/>
      <c r="D890" s="213"/>
      <c r="E890" s="213"/>
      <c r="F890" s="213"/>
      <c r="G890" s="213"/>
      <c r="H890" s="213"/>
    </row>
    <row r="891" spans="1:8">
      <c r="A891" s="212"/>
      <c r="B891" s="213"/>
      <c r="C891" s="213"/>
      <c r="D891" s="213"/>
      <c r="E891" s="213"/>
      <c r="F891" s="213"/>
      <c r="G891" s="213"/>
      <c r="H891" s="213"/>
    </row>
    <row r="892" spans="1:8">
      <c r="A892" s="212"/>
      <c r="B892" s="213"/>
      <c r="C892" s="213"/>
      <c r="D892" s="213"/>
      <c r="E892" s="213"/>
      <c r="F892" s="213"/>
      <c r="G892" s="213"/>
      <c r="H892" s="213"/>
    </row>
    <row r="893" spans="1:8">
      <c r="A893" s="212"/>
      <c r="B893" s="213"/>
      <c r="C893" s="213"/>
      <c r="D893" s="213"/>
      <c r="E893" s="213"/>
      <c r="F893" s="213"/>
      <c r="G893" s="213"/>
      <c r="H893" s="213"/>
    </row>
    <row r="894" spans="1:8">
      <c r="A894" s="212"/>
      <c r="B894" s="213"/>
      <c r="C894" s="213"/>
      <c r="D894" s="213"/>
      <c r="E894" s="213"/>
      <c r="F894" s="213"/>
      <c r="G894" s="213"/>
      <c r="H894" s="213"/>
    </row>
    <row r="895" spans="1:8">
      <c r="A895" s="212"/>
      <c r="B895" s="213"/>
      <c r="C895" s="213"/>
      <c r="D895" s="213"/>
      <c r="E895" s="213"/>
      <c r="F895" s="213"/>
      <c r="G895" s="213"/>
      <c r="H895" s="213"/>
    </row>
    <row r="896" spans="1:8">
      <c r="A896" s="212"/>
      <c r="B896" s="213"/>
      <c r="C896" s="213"/>
      <c r="D896" s="213"/>
      <c r="E896" s="213"/>
      <c r="F896" s="213"/>
      <c r="G896" s="213"/>
      <c r="H896" s="213"/>
    </row>
    <row r="897" spans="1:8">
      <c r="A897" s="212"/>
      <c r="B897" s="213"/>
      <c r="C897" s="213"/>
      <c r="D897" s="213"/>
      <c r="E897" s="213"/>
      <c r="F897" s="213"/>
      <c r="G897" s="213"/>
      <c r="H897" s="213"/>
    </row>
    <row r="898" spans="1:8">
      <c r="A898" s="212"/>
      <c r="B898" s="213"/>
      <c r="C898" s="213"/>
      <c r="D898" s="213"/>
      <c r="E898" s="213"/>
      <c r="F898" s="213"/>
      <c r="G898" s="213"/>
      <c r="H898" s="213"/>
    </row>
    <row r="899" spans="1:8">
      <c r="A899" s="212"/>
      <c r="B899" s="213"/>
      <c r="C899" s="213"/>
      <c r="D899" s="213"/>
      <c r="E899" s="213"/>
      <c r="F899" s="213"/>
      <c r="G899" s="213"/>
      <c r="H899" s="213"/>
    </row>
    <row r="900" spans="1:8">
      <c r="A900" s="212"/>
      <c r="B900" s="213"/>
      <c r="C900" s="213"/>
      <c r="D900" s="213"/>
      <c r="E900" s="213"/>
      <c r="F900" s="213"/>
      <c r="G900" s="213"/>
      <c r="H900" s="213"/>
    </row>
    <row r="901" spans="1:8">
      <c r="A901" s="212"/>
      <c r="B901" s="213"/>
      <c r="C901" s="213"/>
      <c r="D901" s="213"/>
      <c r="E901" s="213"/>
      <c r="F901" s="213"/>
      <c r="G901" s="213"/>
      <c r="H901" s="213"/>
    </row>
    <row r="902" spans="1:8">
      <c r="A902" s="212"/>
      <c r="B902" s="213"/>
      <c r="C902" s="213"/>
      <c r="D902" s="213"/>
      <c r="E902" s="213"/>
      <c r="F902" s="213"/>
      <c r="G902" s="213"/>
      <c r="H902" s="213"/>
    </row>
    <row r="903" spans="1:8">
      <c r="A903" s="212"/>
      <c r="B903" s="213"/>
      <c r="C903" s="213"/>
      <c r="D903" s="213"/>
      <c r="E903" s="213"/>
      <c r="F903" s="213"/>
      <c r="G903" s="213"/>
      <c r="H903" s="213"/>
    </row>
    <row r="904" spans="1:8">
      <c r="A904" s="212"/>
      <c r="B904" s="213"/>
      <c r="C904" s="213"/>
      <c r="D904" s="213"/>
      <c r="E904" s="213"/>
      <c r="F904" s="213"/>
      <c r="G904" s="213"/>
      <c r="H904" s="213"/>
    </row>
    <row r="905" spans="1:8">
      <c r="A905" s="212"/>
      <c r="B905" s="213"/>
      <c r="C905" s="213"/>
      <c r="D905" s="213"/>
      <c r="E905" s="213"/>
      <c r="F905" s="213"/>
      <c r="G905" s="213"/>
      <c r="H905" s="213"/>
    </row>
    <row r="906" spans="1:8">
      <c r="A906" s="212"/>
      <c r="B906" s="213"/>
      <c r="C906" s="213"/>
      <c r="D906" s="213"/>
      <c r="E906" s="213"/>
      <c r="F906" s="213"/>
      <c r="G906" s="213"/>
      <c r="H906" s="213"/>
    </row>
    <row r="907" spans="1:8">
      <c r="A907" s="212"/>
      <c r="B907" s="213"/>
      <c r="C907" s="213"/>
      <c r="D907" s="213"/>
      <c r="E907" s="213"/>
      <c r="F907" s="213"/>
      <c r="G907" s="213"/>
      <c r="H907" s="213"/>
    </row>
    <row r="908" spans="1:8">
      <c r="A908" s="212"/>
      <c r="B908" s="213"/>
      <c r="C908" s="213"/>
      <c r="D908" s="213"/>
      <c r="E908" s="213"/>
      <c r="F908" s="213"/>
      <c r="G908" s="213"/>
      <c r="H908" s="213"/>
    </row>
    <row r="909" spans="1:8">
      <c r="A909" s="212"/>
      <c r="B909" s="213"/>
      <c r="C909" s="213"/>
      <c r="D909" s="213"/>
      <c r="E909" s="213"/>
      <c r="F909" s="213"/>
      <c r="G909" s="213"/>
      <c r="H909" s="213"/>
    </row>
    <row r="910" spans="1:8">
      <c r="A910" s="212"/>
      <c r="B910" s="213"/>
      <c r="C910" s="213"/>
      <c r="D910" s="213"/>
      <c r="E910" s="213"/>
      <c r="F910" s="213"/>
      <c r="G910" s="213"/>
      <c r="H910" s="213"/>
    </row>
    <row r="911" spans="1:8">
      <c r="A911" s="212"/>
      <c r="B911" s="213"/>
      <c r="C911" s="213"/>
      <c r="D911" s="213"/>
      <c r="E911" s="213"/>
      <c r="F911" s="213"/>
      <c r="G911" s="213"/>
      <c r="H911" s="213"/>
    </row>
    <row r="912" spans="1:8">
      <c r="A912" s="212"/>
      <c r="B912" s="213"/>
      <c r="C912" s="213"/>
      <c r="D912" s="213"/>
      <c r="E912" s="213"/>
      <c r="F912" s="213"/>
      <c r="G912" s="213"/>
      <c r="H912" s="213"/>
    </row>
    <row r="913" spans="1:8">
      <c r="A913" s="212"/>
      <c r="B913" s="213"/>
      <c r="C913" s="213"/>
      <c r="D913" s="213"/>
      <c r="E913" s="213"/>
      <c r="F913" s="213"/>
      <c r="G913" s="213"/>
      <c r="H913" s="213"/>
    </row>
    <row r="914" spans="1:8">
      <c r="A914" s="212"/>
      <c r="B914" s="213"/>
      <c r="C914" s="213"/>
      <c r="D914" s="213"/>
      <c r="E914" s="213"/>
      <c r="F914" s="213"/>
      <c r="G914" s="213"/>
      <c r="H914" s="213"/>
    </row>
    <row r="915" spans="1:8">
      <c r="A915" s="212"/>
      <c r="B915" s="213"/>
      <c r="C915" s="213"/>
      <c r="D915" s="213"/>
      <c r="E915" s="213"/>
      <c r="F915" s="213"/>
      <c r="G915" s="213"/>
      <c r="H915" s="213"/>
    </row>
    <row r="916" spans="1:8">
      <c r="A916" s="212"/>
      <c r="B916" s="213"/>
      <c r="C916" s="213"/>
      <c r="D916" s="213"/>
      <c r="E916" s="213"/>
      <c r="F916" s="213"/>
      <c r="G916" s="213"/>
      <c r="H916" s="213"/>
    </row>
    <row r="917" spans="1:8">
      <c r="A917" s="212"/>
      <c r="B917" s="213"/>
      <c r="C917" s="213"/>
      <c r="D917" s="213"/>
      <c r="E917" s="213"/>
      <c r="F917" s="213"/>
      <c r="G917" s="213"/>
      <c r="H917" s="213"/>
    </row>
    <row r="918" spans="1:8">
      <c r="A918" s="212"/>
      <c r="B918" s="213"/>
      <c r="C918" s="213"/>
      <c r="D918" s="213"/>
      <c r="E918" s="213"/>
      <c r="F918" s="213"/>
      <c r="G918" s="213"/>
      <c r="H918" s="213"/>
    </row>
    <row r="919" spans="1:8">
      <c r="A919" s="212"/>
      <c r="B919" s="213"/>
      <c r="C919" s="213"/>
      <c r="D919" s="213"/>
      <c r="E919" s="213"/>
      <c r="F919" s="213"/>
      <c r="G919" s="213"/>
      <c r="H919" s="213"/>
    </row>
    <row r="920" spans="1:8">
      <c r="A920" s="212"/>
      <c r="B920" s="213"/>
      <c r="C920" s="213"/>
      <c r="D920" s="213"/>
      <c r="E920" s="213"/>
      <c r="F920" s="213"/>
      <c r="G920" s="213"/>
      <c r="H920" s="213"/>
    </row>
    <row r="921" spans="1:8">
      <c r="A921" s="212"/>
      <c r="B921" s="213"/>
      <c r="C921" s="213"/>
      <c r="D921" s="213"/>
      <c r="E921" s="213"/>
      <c r="F921" s="213"/>
      <c r="G921" s="213"/>
      <c r="H921" s="213"/>
    </row>
    <row r="922" spans="1:8">
      <c r="A922" s="212"/>
      <c r="B922" s="213"/>
      <c r="C922" s="213"/>
      <c r="D922" s="213"/>
      <c r="E922" s="213"/>
      <c r="F922" s="213"/>
      <c r="G922" s="213"/>
      <c r="H922" s="213"/>
    </row>
    <row r="923" spans="1:8">
      <c r="A923" s="212"/>
      <c r="B923" s="213"/>
      <c r="C923" s="213"/>
      <c r="D923" s="213"/>
      <c r="E923" s="213"/>
      <c r="F923" s="213"/>
      <c r="G923" s="213"/>
      <c r="H923" s="213"/>
    </row>
    <row r="924" spans="1:8">
      <c r="A924" s="212"/>
      <c r="B924" s="213"/>
      <c r="C924" s="213"/>
      <c r="D924" s="213"/>
      <c r="E924" s="213"/>
      <c r="F924" s="213"/>
      <c r="G924" s="213"/>
      <c r="H924" s="213"/>
    </row>
    <row r="925" spans="1:8">
      <c r="A925" s="212"/>
      <c r="B925" s="213"/>
      <c r="C925" s="213"/>
      <c r="D925" s="213"/>
      <c r="E925" s="213"/>
      <c r="F925" s="213"/>
      <c r="G925" s="213"/>
      <c r="H925" s="213"/>
    </row>
    <row r="926" spans="1:8">
      <c r="A926" s="212"/>
      <c r="B926" s="213"/>
      <c r="C926" s="213"/>
      <c r="D926" s="213"/>
      <c r="E926" s="213"/>
      <c r="F926" s="213"/>
      <c r="G926" s="213"/>
      <c r="H926" s="213"/>
    </row>
    <row r="927" spans="1:8">
      <c r="A927" s="212"/>
      <c r="B927" s="213"/>
      <c r="C927" s="213"/>
      <c r="D927" s="213"/>
      <c r="E927" s="213"/>
      <c r="F927" s="213"/>
      <c r="G927" s="213"/>
      <c r="H927" s="213"/>
    </row>
    <row r="928" spans="1:8">
      <c r="A928" s="212"/>
      <c r="B928" s="213"/>
      <c r="C928" s="213"/>
      <c r="D928" s="213"/>
      <c r="E928" s="213"/>
      <c r="F928" s="213"/>
      <c r="G928" s="213"/>
      <c r="H928" s="213"/>
    </row>
    <row r="929" spans="1:8">
      <c r="A929" s="212"/>
      <c r="B929" s="213"/>
      <c r="C929" s="213"/>
      <c r="D929" s="213"/>
      <c r="E929" s="213"/>
      <c r="F929" s="213"/>
      <c r="G929" s="213"/>
      <c r="H929" s="213"/>
    </row>
    <row r="930" spans="1:8">
      <c r="A930" s="212"/>
      <c r="B930" s="213"/>
      <c r="C930" s="213"/>
      <c r="D930" s="213"/>
      <c r="E930" s="213"/>
      <c r="F930" s="213"/>
      <c r="G930" s="213"/>
      <c r="H930" s="213"/>
    </row>
    <row r="931" spans="1:8">
      <c r="A931" s="212"/>
      <c r="B931" s="213"/>
      <c r="C931" s="213"/>
      <c r="D931" s="213"/>
      <c r="E931" s="213"/>
      <c r="F931" s="213"/>
      <c r="G931" s="213"/>
      <c r="H931" s="213"/>
    </row>
    <row r="932" spans="1:8">
      <c r="A932" s="212"/>
      <c r="B932" s="213"/>
      <c r="C932" s="213"/>
      <c r="D932" s="213"/>
      <c r="E932" s="213"/>
      <c r="F932" s="213"/>
      <c r="G932" s="213"/>
      <c r="H932" s="213"/>
    </row>
    <row r="933" spans="1:8">
      <c r="A933" s="212"/>
      <c r="B933" s="213"/>
      <c r="C933" s="213"/>
      <c r="D933" s="213"/>
      <c r="E933" s="213"/>
      <c r="F933" s="213"/>
      <c r="G933" s="213"/>
      <c r="H933" s="213"/>
    </row>
    <row r="934" spans="1:8">
      <c r="A934" s="212"/>
      <c r="B934" s="213"/>
      <c r="C934" s="213"/>
      <c r="D934" s="213"/>
      <c r="E934" s="213"/>
      <c r="F934" s="213"/>
      <c r="G934" s="213"/>
      <c r="H934" s="213"/>
    </row>
    <row r="935" spans="1:8">
      <c r="A935" s="212"/>
      <c r="B935" s="213"/>
      <c r="C935" s="213"/>
      <c r="D935" s="213"/>
      <c r="E935" s="213"/>
      <c r="F935" s="213"/>
      <c r="G935" s="213"/>
      <c r="H935" s="213"/>
    </row>
    <row r="936" spans="1:8">
      <c r="A936" s="212"/>
      <c r="B936" s="213"/>
      <c r="C936" s="213"/>
      <c r="D936" s="213"/>
      <c r="E936" s="213"/>
      <c r="F936" s="213"/>
      <c r="G936" s="213"/>
      <c r="H936" s="213"/>
    </row>
    <row r="937" spans="1:8">
      <c r="A937" s="212"/>
      <c r="B937" s="213"/>
      <c r="C937" s="213"/>
      <c r="D937" s="213"/>
      <c r="E937" s="213"/>
      <c r="F937" s="213"/>
      <c r="G937" s="213"/>
      <c r="H937" s="213"/>
    </row>
    <row r="938" spans="1:8">
      <c r="A938" s="212"/>
      <c r="B938" s="213"/>
      <c r="C938" s="213"/>
      <c r="D938" s="213"/>
      <c r="E938" s="213"/>
      <c r="F938" s="213"/>
      <c r="G938" s="213"/>
      <c r="H938" s="213"/>
    </row>
    <row r="939" spans="1:8">
      <c r="A939" s="212"/>
      <c r="B939" s="213"/>
      <c r="C939" s="213"/>
      <c r="D939" s="213"/>
      <c r="E939" s="213"/>
      <c r="F939" s="213"/>
      <c r="G939" s="213"/>
      <c r="H939" s="213"/>
    </row>
    <row r="940" spans="1:8">
      <c r="A940" s="212"/>
      <c r="B940" s="213"/>
      <c r="C940" s="213"/>
      <c r="D940" s="213"/>
      <c r="E940" s="213"/>
      <c r="F940" s="213"/>
      <c r="G940" s="213"/>
      <c r="H940" s="213"/>
    </row>
    <row r="941" spans="1:8">
      <c r="A941" s="212"/>
      <c r="B941" s="213"/>
      <c r="C941" s="213"/>
      <c r="D941" s="213"/>
      <c r="E941" s="213"/>
      <c r="F941" s="213"/>
      <c r="G941" s="213"/>
      <c r="H941" s="213"/>
    </row>
    <row r="942" spans="1:8">
      <c r="A942" s="212"/>
      <c r="B942" s="213"/>
      <c r="C942" s="213"/>
      <c r="D942" s="213"/>
      <c r="E942" s="213"/>
      <c r="F942" s="213"/>
      <c r="G942" s="213"/>
      <c r="H942" s="213"/>
    </row>
    <row r="943" spans="1:8">
      <c r="A943" s="212"/>
      <c r="B943" s="213"/>
      <c r="C943" s="213"/>
      <c r="D943" s="213"/>
      <c r="E943" s="213"/>
      <c r="F943" s="213"/>
      <c r="G943" s="213"/>
      <c r="H943" s="213"/>
    </row>
    <row r="944" spans="1:8">
      <c r="A944" s="212"/>
      <c r="B944" s="213"/>
      <c r="C944" s="213"/>
      <c r="D944" s="213"/>
      <c r="E944" s="213"/>
      <c r="F944" s="213"/>
      <c r="G944" s="213"/>
      <c r="H944" s="213"/>
    </row>
    <row r="945" spans="1:8">
      <c r="A945" s="212"/>
      <c r="B945" s="213"/>
      <c r="C945" s="213"/>
      <c r="D945" s="213"/>
      <c r="E945" s="213"/>
      <c r="F945" s="213"/>
      <c r="G945" s="213"/>
      <c r="H945" s="213"/>
    </row>
    <row r="946" spans="1:8">
      <c r="A946" s="212"/>
      <c r="B946" s="213"/>
      <c r="C946" s="213"/>
      <c r="D946" s="213"/>
      <c r="E946" s="213"/>
      <c r="F946" s="213"/>
      <c r="G946" s="213"/>
      <c r="H946" s="213"/>
    </row>
    <row r="947" spans="1:8">
      <c r="A947" s="212"/>
      <c r="B947" s="213"/>
      <c r="C947" s="213"/>
      <c r="D947" s="213"/>
      <c r="E947" s="213"/>
      <c r="F947" s="213"/>
      <c r="G947" s="213"/>
      <c r="H947" s="213"/>
    </row>
    <row r="948" spans="1:8">
      <c r="A948" s="212"/>
      <c r="B948" s="213"/>
      <c r="C948" s="213"/>
      <c r="D948" s="213"/>
      <c r="E948" s="213"/>
      <c r="F948" s="213"/>
      <c r="G948" s="213"/>
      <c r="H948" s="213"/>
    </row>
    <row r="949" spans="1:8">
      <c r="A949" s="212"/>
      <c r="B949" s="213"/>
      <c r="C949" s="213"/>
      <c r="D949" s="213"/>
      <c r="E949" s="213"/>
      <c r="F949" s="213"/>
      <c r="G949" s="213"/>
      <c r="H949" s="213"/>
    </row>
    <row r="950" spans="1:8">
      <c r="A950" s="212"/>
      <c r="B950" s="213"/>
      <c r="C950" s="213"/>
      <c r="D950" s="213"/>
      <c r="E950" s="213"/>
      <c r="F950" s="213"/>
      <c r="G950" s="213"/>
      <c r="H950" s="213"/>
    </row>
    <row r="951" spans="1:8">
      <c r="A951" s="212"/>
      <c r="B951" s="213"/>
      <c r="C951" s="213"/>
      <c r="D951" s="213"/>
      <c r="E951" s="213"/>
      <c r="F951" s="213"/>
      <c r="G951" s="213"/>
      <c r="H951" s="213"/>
    </row>
    <row r="952" spans="1:8">
      <c r="A952" s="212"/>
      <c r="B952" s="213"/>
      <c r="C952" s="213"/>
      <c r="D952" s="213"/>
      <c r="E952" s="213"/>
      <c r="F952" s="213"/>
      <c r="G952" s="213"/>
      <c r="H952" s="213"/>
    </row>
    <row r="953" spans="1:8">
      <c r="A953" s="212"/>
      <c r="B953" s="213"/>
      <c r="C953" s="213"/>
      <c r="D953" s="213"/>
      <c r="E953" s="213"/>
      <c r="F953" s="213"/>
      <c r="G953" s="213"/>
      <c r="H953" s="213"/>
    </row>
    <row r="954" spans="1:8">
      <c r="A954" s="212"/>
      <c r="B954" s="213"/>
      <c r="C954" s="213"/>
      <c r="D954" s="213"/>
      <c r="E954" s="213"/>
      <c r="F954" s="213"/>
      <c r="G954" s="213"/>
      <c r="H954" s="213"/>
    </row>
    <row r="955" spans="1:8">
      <c r="A955" s="212"/>
      <c r="B955" s="213"/>
      <c r="C955" s="213"/>
      <c r="D955" s="213"/>
      <c r="E955" s="213"/>
      <c r="F955" s="213"/>
      <c r="G955" s="213"/>
      <c r="H955" s="213"/>
    </row>
    <row r="956" spans="1:8">
      <c r="A956" s="212"/>
      <c r="B956" s="213"/>
      <c r="C956" s="213"/>
      <c r="D956" s="213"/>
      <c r="E956" s="213"/>
      <c r="F956" s="213"/>
      <c r="G956" s="213"/>
      <c r="H956" s="213"/>
    </row>
    <row r="957" spans="1:8">
      <c r="A957" s="212"/>
      <c r="B957" s="213"/>
      <c r="C957" s="213"/>
      <c r="D957" s="213"/>
      <c r="E957" s="213"/>
      <c r="F957" s="213"/>
      <c r="G957" s="213"/>
      <c r="H957" s="213"/>
    </row>
    <row r="958" spans="1:8">
      <c r="A958" s="212"/>
      <c r="B958" s="213"/>
      <c r="C958" s="213"/>
      <c r="D958" s="213"/>
      <c r="E958" s="213"/>
      <c r="F958" s="213"/>
      <c r="G958" s="213"/>
      <c r="H958" s="213"/>
    </row>
    <row r="959" spans="1:8">
      <c r="A959" s="212"/>
      <c r="B959" s="213"/>
      <c r="C959" s="213"/>
      <c r="D959" s="213"/>
      <c r="E959" s="213"/>
      <c r="F959" s="213"/>
      <c r="G959" s="213"/>
      <c r="H959" s="213"/>
    </row>
    <row r="960" spans="1:8">
      <c r="A960" s="212"/>
      <c r="B960" s="213"/>
      <c r="C960" s="213"/>
      <c r="D960" s="213"/>
      <c r="E960" s="213"/>
      <c r="F960" s="213"/>
      <c r="G960" s="213"/>
      <c r="H960" s="213"/>
    </row>
    <row r="961" spans="1:8">
      <c r="A961" s="212"/>
      <c r="B961" s="213"/>
      <c r="C961" s="213"/>
      <c r="D961" s="213"/>
      <c r="E961" s="213"/>
      <c r="F961" s="213"/>
      <c r="G961" s="213"/>
      <c r="H961" s="213"/>
    </row>
    <row r="962" spans="1:8">
      <c r="A962" s="212"/>
      <c r="B962" s="213"/>
      <c r="C962" s="213"/>
      <c r="D962" s="213"/>
      <c r="E962" s="213"/>
      <c r="F962" s="213"/>
      <c r="G962" s="213"/>
      <c r="H962" s="213"/>
    </row>
    <row r="963" spans="1:8">
      <c r="A963" s="212"/>
      <c r="B963" s="213"/>
      <c r="C963" s="213"/>
      <c r="D963" s="213"/>
      <c r="E963" s="213"/>
      <c r="F963" s="213"/>
      <c r="G963" s="213"/>
      <c r="H963" s="213"/>
    </row>
    <row r="964" spans="1:8">
      <c r="A964" s="212"/>
      <c r="B964" s="213"/>
      <c r="C964" s="213"/>
      <c r="D964" s="213"/>
      <c r="E964" s="213"/>
      <c r="F964" s="213"/>
      <c r="G964" s="213"/>
      <c r="H964" s="213"/>
    </row>
    <row r="965" spans="1:8">
      <c r="A965" s="212"/>
      <c r="B965" s="213"/>
      <c r="C965" s="213"/>
      <c r="D965" s="213"/>
      <c r="E965" s="213"/>
      <c r="F965" s="213"/>
      <c r="G965" s="213"/>
      <c r="H965" s="213"/>
    </row>
    <row r="966" spans="1:8">
      <c r="A966" s="212"/>
      <c r="B966" s="213"/>
      <c r="C966" s="213"/>
      <c r="D966" s="213"/>
      <c r="E966" s="213"/>
      <c r="F966" s="213"/>
      <c r="G966" s="213"/>
      <c r="H966" s="213"/>
    </row>
    <row r="967" spans="1:8">
      <c r="A967" s="212"/>
      <c r="B967" s="213"/>
      <c r="C967" s="213"/>
      <c r="D967" s="213"/>
      <c r="E967" s="213"/>
      <c r="F967" s="213"/>
      <c r="G967" s="213"/>
      <c r="H967" s="213"/>
    </row>
    <row r="968" spans="1:8">
      <c r="A968" s="212"/>
      <c r="B968" s="213"/>
      <c r="C968" s="213"/>
      <c r="D968" s="213"/>
      <c r="E968" s="213"/>
      <c r="F968" s="213"/>
      <c r="G968" s="213"/>
      <c r="H968" s="213"/>
    </row>
    <row r="969" spans="1:8">
      <c r="A969" s="212"/>
      <c r="B969" s="213"/>
      <c r="C969" s="213"/>
      <c r="D969" s="213"/>
      <c r="E969" s="213"/>
      <c r="F969" s="213"/>
      <c r="G969" s="213"/>
      <c r="H969" s="213"/>
    </row>
    <row r="970" spans="1:8">
      <c r="A970" s="212"/>
      <c r="B970" s="213"/>
      <c r="C970" s="213"/>
      <c r="D970" s="213"/>
      <c r="E970" s="213"/>
      <c r="F970" s="213"/>
      <c r="G970" s="213"/>
      <c r="H970" s="213"/>
    </row>
    <row r="971" spans="1:8">
      <c r="A971" s="212"/>
      <c r="B971" s="213"/>
      <c r="C971" s="213"/>
      <c r="D971" s="213"/>
      <c r="E971" s="213"/>
      <c r="F971" s="213"/>
      <c r="G971" s="213"/>
      <c r="H971" s="213"/>
    </row>
    <row r="972" spans="1:8">
      <c r="A972" s="212"/>
      <c r="B972" s="213"/>
      <c r="C972" s="213"/>
      <c r="D972" s="213"/>
      <c r="E972" s="213"/>
      <c r="F972" s="213"/>
      <c r="G972" s="213"/>
      <c r="H972" s="213"/>
    </row>
    <row r="973" spans="1:8">
      <c r="A973" s="212"/>
      <c r="B973" s="213"/>
      <c r="C973" s="213"/>
      <c r="D973" s="213"/>
      <c r="E973" s="213"/>
      <c r="F973" s="213"/>
      <c r="G973" s="213"/>
      <c r="H973" s="213"/>
    </row>
    <row r="974" spans="1:8">
      <c r="A974" s="212"/>
      <c r="B974" s="213"/>
      <c r="C974" s="213"/>
      <c r="D974" s="213"/>
      <c r="E974" s="213"/>
      <c r="F974" s="213"/>
      <c r="G974" s="213"/>
      <c r="H974" s="213"/>
    </row>
    <row r="975" spans="1:8">
      <c r="A975" s="212"/>
      <c r="B975" s="213"/>
      <c r="C975" s="213"/>
      <c r="D975" s="213"/>
      <c r="E975" s="213"/>
      <c r="F975" s="213"/>
      <c r="G975" s="213"/>
      <c r="H975" s="213"/>
    </row>
    <row r="976" spans="1:8">
      <c r="A976" s="212"/>
      <c r="B976" s="213"/>
      <c r="C976" s="213"/>
      <c r="D976" s="213"/>
      <c r="E976" s="213"/>
      <c r="F976" s="213"/>
      <c r="G976" s="213"/>
      <c r="H976" s="213"/>
    </row>
    <row r="977" spans="1:8">
      <c r="A977" s="212"/>
      <c r="B977" s="213"/>
      <c r="C977" s="213"/>
      <c r="D977" s="213"/>
      <c r="E977" s="213"/>
      <c r="F977" s="213"/>
      <c r="G977" s="213"/>
      <c r="H977" s="213"/>
    </row>
    <row r="978" spans="1:8">
      <c r="A978" s="212"/>
      <c r="B978" s="213"/>
      <c r="C978" s="213"/>
      <c r="D978" s="213"/>
      <c r="E978" s="213"/>
      <c r="F978" s="213"/>
      <c r="G978" s="213"/>
      <c r="H978" s="213"/>
    </row>
    <row r="979" spans="1:8">
      <c r="A979" s="212"/>
      <c r="B979" s="213"/>
      <c r="C979" s="213"/>
      <c r="D979" s="213"/>
      <c r="E979" s="213"/>
      <c r="F979" s="213"/>
      <c r="G979" s="213"/>
      <c r="H979" s="213"/>
    </row>
    <row r="980" spans="1:8">
      <c r="A980" s="212"/>
      <c r="B980" s="213"/>
      <c r="C980" s="213"/>
      <c r="D980" s="213"/>
      <c r="E980" s="213"/>
      <c r="F980" s="213"/>
      <c r="G980" s="213"/>
      <c r="H980" s="213"/>
    </row>
    <row r="981" spans="1:8">
      <c r="A981" s="212"/>
      <c r="B981" s="213"/>
      <c r="C981" s="213"/>
      <c r="D981" s="213"/>
      <c r="E981" s="213"/>
      <c r="F981" s="213"/>
      <c r="G981" s="213"/>
      <c r="H981" s="213"/>
    </row>
    <row r="982" spans="1:8">
      <c r="A982" s="212"/>
      <c r="B982" s="213"/>
      <c r="C982" s="213"/>
      <c r="D982" s="213"/>
      <c r="E982" s="213"/>
      <c r="F982" s="213"/>
      <c r="G982" s="213"/>
      <c r="H982" s="213"/>
    </row>
    <row r="983" spans="1:8">
      <c r="A983" s="212"/>
      <c r="B983" s="213"/>
      <c r="C983" s="213"/>
      <c r="D983" s="213"/>
      <c r="E983" s="213"/>
      <c r="F983" s="213"/>
      <c r="G983" s="213"/>
      <c r="H983" s="213"/>
    </row>
    <row r="984" spans="1:8">
      <c r="A984" s="212"/>
      <c r="B984" s="213"/>
      <c r="C984" s="213"/>
      <c r="D984" s="213"/>
      <c r="E984" s="213"/>
      <c r="F984" s="213"/>
      <c r="G984" s="213"/>
      <c r="H984" s="213"/>
    </row>
    <row r="985" spans="1:8">
      <c r="A985" s="212"/>
      <c r="B985" s="213"/>
      <c r="C985" s="213"/>
      <c r="D985" s="213"/>
      <c r="E985" s="213"/>
      <c r="F985" s="213"/>
      <c r="G985" s="213"/>
      <c r="H985" s="213"/>
    </row>
    <row r="986" spans="1:8">
      <c r="A986" s="212"/>
      <c r="B986" s="213"/>
      <c r="C986" s="213"/>
      <c r="D986" s="213"/>
      <c r="E986" s="213"/>
      <c r="F986" s="213"/>
      <c r="G986" s="213"/>
      <c r="H986" s="213"/>
    </row>
    <row r="987" spans="1:8">
      <c r="A987" s="212"/>
      <c r="B987" s="213"/>
      <c r="C987" s="213"/>
      <c r="D987" s="213"/>
      <c r="E987" s="213"/>
      <c r="F987" s="213"/>
      <c r="G987" s="213"/>
      <c r="H987" s="213"/>
    </row>
    <row r="988" spans="1:8">
      <c r="A988" s="212"/>
      <c r="B988" s="213"/>
      <c r="C988" s="213"/>
      <c r="D988" s="213"/>
      <c r="E988" s="213"/>
      <c r="F988" s="213"/>
      <c r="G988" s="213"/>
      <c r="H988" s="213"/>
    </row>
    <row r="989" spans="1:8">
      <c r="A989" s="212"/>
      <c r="B989" s="213"/>
      <c r="C989" s="213"/>
      <c r="D989" s="213"/>
      <c r="E989" s="213"/>
      <c r="F989" s="213"/>
      <c r="G989" s="213"/>
      <c r="H989" s="213"/>
    </row>
    <row r="990" spans="1:8">
      <c r="A990" s="212"/>
      <c r="B990" s="213"/>
      <c r="C990" s="213"/>
      <c r="D990" s="213"/>
      <c r="E990" s="213"/>
      <c r="F990" s="213"/>
      <c r="G990" s="213"/>
      <c r="H990" s="213"/>
    </row>
    <row r="991" spans="1:8">
      <c r="A991" s="212"/>
      <c r="B991" s="213"/>
      <c r="C991" s="213"/>
      <c r="D991" s="213"/>
      <c r="E991" s="213"/>
      <c r="F991" s="213"/>
      <c r="G991" s="213"/>
      <c r="H991" s="213"/>
    </row>
    <row r="992" spans="1:8">
      <c r="A992" s="212"/>
      <c r="B992" s="213"/>
      <c r="C992" s="213"/>
      <c r="D992" s="213"/>
      <c r="E992" s="213"/>
      <c r="F992" s="213"/>
      <c r="G992" s="213"/>
      <c r="H992" s="213"/>
    </row>
    <row r="993" spans="1:8">
      <c r="A993" s="212"/>
      <c r="B993" s="213"/>
      <c r="C993" s="213"/>
      <c r="D993" s="213"/>
      <c r="E993" s="213"/>
      <c r="F993" s="213"/>
      <c r="G993" s="213"/>
      <c r="H993" s="213"/>
    </row>
    <row r="994" spans="1:8">
      <c r="A994" s="212"/>
      <c r="B994" s="213"/>
      <c r="C994" s="213"/>
      <c r="D994" s="213"/>
      <c r="E994" s="213"/>
      <c r="F994" s="213"/>
      <c r="G994" s="213"/>
      <c r="H994" s="213"/>
    </row>
    <row r="995" spans="1:8">
      <c r="A995" s="212"/>
      <c r="B995" s="213"/>
      <c r="C995" s="213"/>
      <c r="D995" s="213"/>
      <c r="E995" s="213"/>
      <c r="F995" s="213"/>
      <c r="G995" s="213"/>
      <c r="H995" s="213"/>
    </row>
    <row r="996" spans="1:8">
      <c r="A996" s="212"/>
      <c r="B996" s="213"/>
      <c r="C996" s="213"/>
      <c r="D996" s="213"/>
      <c r="E996" s="213"/>
      <c r="F996" s="213"/>
      <c r="G996" s="213"/>
      <c r="H996" s="213"/>
    </row>
    <row r="997" spans="1:8">
      <c r="A997" s="212"/>
      <c r="B997" s="213"/>
      <c r="C997" s="213"/>
      <c r="D997" s="213"/>
      <c r="E997" s="213"/>
      <c r="F997" s="213"/>
      <c r="G997" s="213"/>
      <c r="H997" s="213"/>
    </row>
    <row r="998" spans="1:8">
      <c r="A998" s="212"/>
      <c r="B998" s="213"/>
      <c r="C998" s="213"/>
      <c r="D998" s="213"/>
      <c r="E998" s="213"/>
      <c r="F998" s="213"/>
      <c r="G998" s="213"/>
      <c r="H998" s="213"/>
    </row>
    <row r="999" spans="1:8">
      <c r="A999" s="212"/>
      <c r="B999" s="213"/>
      <c r="C999" s="213"/>
      <c r="D999" s="213"/>
      <c r="E999" s="213"/>
      <c r="F999" s="213"/>
      <c r="G999" s="213"/>
      <c r="H999" s="213"/>
    </row>
    <row r="1000" spans="1:8">
      <c r="A1000" s="212"/>
      <c r="B1000" s="213"/>
      <c r="C1000" s="213"/>
      <c r="D1000" s="213"/>
      <c r="E1000" s="213"/>
      <c r="F1000" s="213"/>
      <c r="G1000" s="213"/>
      <c r="H1000" s="213"/>
    </row>
    <row r="1001" spans="1:8">
      <c r="A1001" s="212"/>
      <c r="B1001" s="213"/>
      <c r="C1001" s="213"/>
      <c r="D1001" s="213"/>
      <c r="E1001" s="213"/>
      <c r="F1001" s="213"/>
      <c r="G1001" s="213"/>
      <c r="H1001" s="213"/>
    </row>
    <row r="1002" spans="1:8">
      <c r="A1002" s="212"/>
      <c r="B1002" s="213"/>
      <c r="C1002" s="213"/>
      <c r="D1002" s="213"/>
      <c r="E1002" s="213"/>
      <c r="F1002" s="213"/>
      <c r="G1002" s="213"/>
      <c r="H1002" s="213"/>
    </row>
    <row r="1003" spans="1:8">
      <c r="A1003" s="212"/>
      <c r="B1003" s="213"/>
      <c r="C1003" s="213"/>
      <c r="D1003" s="213"/>
      <c r="E1003" s="213"/>
      <c r="F1003" s="213"/>
      <c r="G1003" s="213"/>
      <c r="H1003" s="213"/>
    </row>
    <row r="1004" spans="1:8">
      <c r="A1004" s="212"/>
      <c r="B1004" s="213"/>
      <c r="C1004" s="213"/>
      <c r="D1004" s="213"/>
      <c r="E1004" s="213"/>
      <c r="F1004" s="213"/>
      <c r="G1004" s="213"/>
      <c r="H1004" s="213"/>
    </row>
    <row r="1005" spans="1:8">
      <c r="A1005" s="212"/>
      <c r="B1005" s="213"/>
      <c r="C1005" s="213"/>
      <c r="D1005" s="213"/>
      <c r="E1005" s="213"/>
      <c r="F1005" s="213"/>
      <c r="G1005" s="213"/>
      <c r="H1005" s="213"/>
    </row>
    <row r="1006" spans="1:8">
      <c r="A1006" s="212"/>
      <c r="B1006" s="213"/>
      <c r="C1006" s="213"/>
      <c r="D1006" s="213"/>
      <c r="E1006" s="213"/>
      <c r="F1006" s="213"/>
      <c r="G1006" s="213"/>
      <c r="H1006" s="213"/>
    </row>
    <row r="1007" spans="1:8">
      <c r="A1007" s="212"/>
      <c r="B1007" s="213"/>
      <c r="C1007" s="213"/>
      <c r="D1007" s="213"/>
      <c r="E1007" s="213"/>
      <c r="F1007" s="213"/>
      <c r="G1007" s="213"/>
      <c r="H1007" s="213"/>
    </row>
    <row r="1008" spans="1:8">
      <c r="A1008" s="212"/>
      <c r="B1008" s="213"/>
      <c r="C1008" s="213"/>
      <c r="D1008" s="213"/>
      <c r="E1008" s="213"/>
      <c r="F1008" s="213"/>
      <c r="G1008" s="213"/>
      <c r="H1008" s="213"/>
    </row>
    <row r="1009" spans="1:8">
      <c r="A1009" s="212"/>
      <c r="B1009" s="213"/>
      <c r="C1009" s="213"/>
      <c r="D1009" s="213"/>
      <c r="E1009" s="213"/>
      <c r="F1009" s="213"/>
      <c r="G1009" s="213"/>
      <c r="H1009" s="213"/>
    </row>
    <row r="1010" spans="1:8">
      <c r="A1010" s="212"/>
      <c r="B1010" s="213"/>
      <c r="C1010" s="213"/>
      <c r="D1010" s="213"/>
      <c r="E1010" s="213"/>
      <c r="F1010" s="213"/>
      <c r="G1010" s="213"/>
      <c r="H1010" s="213"/>
    </row>
    <row r="1011" spans="1:8">
      <c r="A1011" s="212"/>
      <c r="B1011" s="213"/>
      <c r="C1011" s="213"/>
      <c r="D1011" s="213"/>
      <c r="E1011" s="213"/>
      <c r="F1011" s="213"/>
      <c r="G1011" s="213"/>
      <c r="H1011" s="213"/>
    </row>
    <row r="1012" spans="1:8">
      <c r="A1012" s="212"/>
      <c r="B1012" s="213"/>
      <c r="C1012" s="213"/>
      <c r="D1012" s="213"/>
      <c r="E1012" s="213"/>
      <c r="F1012" s="213"/>
      <c r="G1012" s="213"/>
      <c r="H1012" s="213"/>
    </row>
    <row r="1013" spans="1:8">
      <c r="A1013" s="212"/>
      <c r="B1013" s="213"/>
      <c r="C1013" s="213"/>
      <c r="D1013" s="213"/>
      <c r="E1013" s="213"/>
      <c r="F1013" s="213"/>
      <c r="G1013" s="213"/>
      <c r="H1013" s="213"/>
    </row>
    <row r="1014" spans="1:8">
      <c r="A1014" s="212"/>
      <c r="B1014" s="213"/>
      <c r="C1014" s="213"/>
      <c r="D1014" s="213"/>
      <c r="E1014" s="213"/>
      <c r="F1014" s="213"/>
      <c r="G1014" s="213"/>
      <c r="H1014" s="213"/>
    </row>
    <row r="1015" spans="1:8">
      <c r="A1015" s="212"/>
      <c r="B1015" s="213"/>
      <c r="C1015" s="213"/>
      <c r="D1015" s="213"/>
      <c r="E1015" s="213"/>
      <c r="F1015" s="213"/>
      <c r="G1015" s="213"/>
      <c r="H1015" s="213"/>
    </row>
    <row r="1016" spans="1:8">
      <c r="A1016" s="212"/>
      <c r="B1016" s="213"/>
      <c r="C1016" s="213"/>
      <c r="D1016" s="213"/>
      <c r="E1016" s="213"/>
      <c r="F1016" s="213"/>
      <c r="G1016" s="213"/>
      <c r="H1016" s="213"/>
    </row>
    <row r="1017" spans="1:8">
      <c r="A1017" s="212"/>
      <c r="B1017" s="213"/>
      <c r="C1017" s="213"/>
      <c r="D1017" s="213"/>
      <c r="E1017" s="213"/>
      <c r="F1017" s="213"/>
      <c r="G1017" s="213"/>
      <c r="H1017" s="213"/>
    </row>
    <row r="1018" spans="1:8">
      <c r="A1018" s="212"/>
      <c r="B1018" s="213"/>
      <c r="C1018" s="213"/>
      <c r="D1018" s="213"/>
      <c r="E1018" s="213"/>
      <c r="F1018" s="213"/>
      <c r="G1018" s="213"/>
      <c r="H1018" s="213"/>
    </row>
    <row r="1019" spans="1:8">
      <c r="A1019" s="212"/>
      <c r="B1019" s="213"/>
      <c r="C1019" s="213"/>
      <c r="D1019" s="213"/>
      <c r="E1019" s="213"/>
      <c r="F1019" s="213"/>
      <c r="G1019" s="213"/>
      <c r="H1019" s="213"/>
    </row>
    <row r="1020" spans="1:8">
      <c r="A1020" s="212"/>
      <c r="B1020" s="213"/>
      <c r="C1020" s="213"/>
      <c r="D1020" s="213"/>
      <c r="E1020" s="213"/>
      <c r="F1020" s="213"/>
      <c r="G1020" s="213"/>
      <c r="H1020" s="213"/>
    </row>
    <row r="1021" spans="1:8">
      <c r="A1021" s="212"/>
      <c r="B1021" s="213"/>
      <c r="C1021" s="213"/>
      <c r="D1021" s="213"/>
      <c r="E1021" s="213"/>
      <c r="F1021" s="213"/>
      <c r="G1021" s="213"/>
      <c r="H1021" s="213"/>
    </row>
    <row r="1022" spans="1:8">
      <c r="A1022" s="212"/>
      <c r="B1022" s="213"/>
      <c r="C1022" s="213"/>
      <c r="D1022" s="213"/>
      <c r="E1022" s="213"/>
      <c r="F1022" s="213"/>
      <c r="G1022" s="213"/>
      <c r="H1022" s="213"/>
    </row>
    <row r="1023" spans="1:8">
      <c r="A1023" s="212"/>
      <c r="B1023" s="213"/>
      <c r="C1023" s="213"/>
      <c r="D1023" s="213"/>
      <c r="E1023" s="213"/>
      <c r="F1023" s="213"/>
      <c r="G1023" s="213"/>
      <c r="H1023" s="213"/>
    </row>
    <row r="1024" spans="1:8">
      <c r="A1024" s="212"/>
      <c r="B1024" s="213"/>
      <c r="C1024" s="213"/>
      <c r="D1024" s="213"/>
      <c r="E1024" s="213"/>
      <c r="F1024" s="213"/>
      <c r="G1024" s="213"/>
      <c r="H1024" s="213"/>
    </row>
    <row r="1025" spans="1:8">
      <c r="A1025" s="212"/>
      <c r="B1025" s="213"/>
      <c r="C1025" s="213"/>
      <c r="D1025" s="213"/>
      <c r="E1025" s="213"/>
      <c r="F1025" s="213"/>
      <c r="G1025" s="213"/>
      <c r="H1025" s="213"/>
    </row>
    <row r="1026" spans="1:8">
      <c r="A1026" s="212"/>
      <c r="B1026" s="213"/>
      <c r="C1026" s="213"/>
      <c r="D1026" s="213"/>
      <c r="E1026" s="213"/>
      <c r="F1026" s="213"/>
      <c r="G1026" s="213"/>
      <c r="H1026" s="213"/>
    </row>
    <row r="1027" spans="1:8">
      <c r="A1027" s="212"/>
      <c r="B1027" s="213"/>
      <c r="C1027" s="213"/>
      <c r="D1027" s="213"/>
      <c r="E1027" s="213"/>
      <c r="F1027" s="213"/>
      <c r="G1027" s="213"/>
      <c r="H1027" s="213"/>
    </row>
    <row r="1028" spans="1:8">
      <c r="A1028" s="212"/>
      <c r="B1028" s="213"/>
      <c r="C1028" s="213"/>
      <c r="D1028" s="213"/>
      <c r="E1028" s="213"/>
      <c r="F1028" s="213"/>
      <c r="G1028" s="213"/>
      <c r="H1028" s="213"/>
    </row>
    <row r="1029" spans="1:8">
      <c r="A1029" s="212"/>
      <c r="B1029" s="213"/>
      <c r="C1029" s="213"/>
      <c r="D1029" s="213"/>
      <c r="E1029" s="213"/>
      <c r="F1029" s="213"/>
      <c r="G1029" s="213"/>
      <c r="H1029" s="213"/>
    </row>
    <row r="1030" spans="1:8">
      <c r="A1030" s="212"/>
      <c r="B1030" s="213"/>
      <c r="C1030" s="213"/>
      <c r="D1030" s="213"/>
      <c r="E1030" s="213"/>
      <c r="F1030" s="213"/>
      <c r="G1030" s="213"/>
      <c r="H1030" s="213"/>
    </row>
    <row r="1031" spans="1:8">
      <c r="A1031" s="212"/>
      <c r="B1031" s="213"/>
      <c r="C1031" s="213"/>
      <c r="D1031" s="213"/>
      <c r="E1031" s="213"/>
      <c r="F1031" s="213"/>
      <c r="G1031" s="213"/>
      <c r="H1031" s="213"/>
    </row>
    <row r="1032" spans="1:8">
      <c r="A1032" s="212"/>
      <c r="B1032" s="213"/>
      <c r="C1032" s="213"/>
      <c r="D1032" s="213"/>
      <c r="E1032" s="213"/>
      <c r="F1032" s="213"/>
      <c r="G1032" s="213"/>
      <c r="H1032" s="213"/>
    </row>
    <row r="1033" spans="1:8">
      <c r="A1033" s="212"/>
      <c r="B1033" s="213"/>
      <c r="C1033" s="213"/>
      <c r="D1033" s="213"/>
      <c r="E1033" s="213"/>
      <c r="F1033" s="213"/>
      <c r="G1033" s="213"/>
      <c r="H1033" s="213"/>
    </row>
    <row r="1034" spans="1:8">
      <c r="A1034" s="212"/>
      <c r="B1034" s="213"/>
      <c r="C1034" s="213"/>
      <c r="D1034" s="213"/>
      <c r="E1034" s="213"/>
      <c r="F1034" s="213"/>
      <c r="G1034" s="213"/>
      <c r="H1034" s="213"/>
    </row>
    <row r="1035" spans="1:8">
      <c r="A1035" s="212"/>
      <c r="B1035" s="213"/>
      <c r="C1035" s="213"/>
      <c r="D1035" s="213"/>
      <c r="E1035" s="213"/>
      <c r="F1035" s="213"/>
      <c r="G1035" s="213"/>
      <c r="H1035" s="213"/>
    </row>
    <row r="1036" spans="1:8">
      <c r="A1036" s="212"/>
      <c r="B1036" s="213"/>
      <c r="C1036" s="213"/>
      <c r="D1036" s="213"/>
      <c r="E1036" s="213"/>
      <c r="F1036" s="213"/>
      <c r="G1036" s="213"/>
      <c r="H1036" s="213"/>
    </row>
    <row r="1037" spans="1:8">
      <c r="A1037" s="212"/>
      <c r="B1037" s="213"/>
      <c r="C1037" s="213"/>
      <c r="D1037" s="213"/>
      <c r="E1037" s="213"/>
      <c r="F1037" s="213"/>
      <c r="G1037" s="213"/>
      <c r="H1037" s="213"/>
    </row>
    <row r="1038" spans="1:8">
      <c r="A1038" s="212"/>
      <c r="B1038" s="213"/>
      <c r="C1038" s="213"/>
      <c r="D1038" s="213"/>
      <c r="E1038" s="213"/>
      <c r="F1038" s="213"/>
      <c r="G1038" s="213"/>
      <c r="H1038" s="213"/>
    </row>
    <row r="1039" spans="1:8">
      <c r="A1039" s="212"/>
      <c r="B1039" s="213"/>
      <c r="C1039" s="213"/>
      <c r="D1039" s="213"/>
      <c r="E1039" s="213"/>
      <c r="F1039" s="213"/>
      <c r="G1039" s="213"/>
      <c r="H1039" s="213"/>
    </row>
    <row r="1040" spans="1:8">
      <c r="A1040" s="212"/>
      <c r="B1040" s="213"/>
      <c r="C1040" s="213"/>
      <c r="D1040" s="213"/>
      <c r="E1040" s="213"/>
      <c r="F1040" s="213"/>
      <c r="G1040" s="213"/>
      <c r="H1040" s="213"/>
    </row>
    <row r="1041" spans="1:8">
      <c r="A1041" s="212"/>
      <c r="B1041" s="213"/>
      <c r="C1041" s="213"/>
      <c r="D1041" s="213"/>
      <c r="E1041" s="213"/>
      <c r="F1041" s="213"/>
      <c r="G1041" s="213"/>
      <c r="H1041" s="213"/>
    </row>
    <row r="1042" spans="1:8">
      <c r="A1042" s="212"/>
      <c r="B1042" s="213"/>
      <c r="C1042" s="213"/>
      <c r="D1042" s="213"/>
      <c r="E1042" s="213"/>
      <c r="F1042" s="213"/>
      <c r="G1042" s="213"/>
      <c r="H1042" s="213"/>
    </row>
    <row r="1043" spans="1:8">
      <c r="A1043" s="212"/>
      <c r="B1043" s="213"/>
      <c r="C1043" s="213"/>
      <c r="D1043" s="213"/>
      <c r="E1043" s="213"/>
      <c r="F1043" s="213"/>
      <c r="G1043" s="213"/>
      <c r="H1043" s="213"/>
    </row>
    <row r="1044" spans="1:8">
      <c r="A1044" s="212"/>
      <c r="B1044" s="213"/>
      <c r="C1044" s="213"/>
      <c r="D1044" s="213"/>
      <c r="E1044" s="213"/>
      <c r="F1044" s="213"/>
      <c r="G1044" s="213"/>
      <c r="H1044" s="213"/>
    </row>
    <row r="1045" spans="1:8">
      <c r="A1045" s="212"/>
      <c r="B1045" s="213"/>
      <c r="C1045" s="213"/>
      <c r="D1045" s="213"/>
      <c r="E1045" s="213"/>
      <c r="F1045" s="213"/>
      <c r="G1045" s="213"/>
      <c r="H1045" s="213"/>
    </row>
    <row r="1046" spans="1:8">
      <c r="A1046" s="212"/>
      <c r="B1046" s="213"/>
      <c r="C1046" s="213"/>
      <c r="D1046" s="213"/>
      <c r="E1046" s="213"/>
      <c r="F1046" s="213"/>
      <c r="G1046" s="213"/>
      <c r="H1046" s="213"/>
    </row>
    <row r="1047" spans="1:8">
      <c r="A1047" s="212"/>
      <c r="B1047" s="213"/>
      <c r="C1047" s="213"/>
      <c r="D1047" s="213"/>
      <c r="E1047" s="213"/>
      <c r="F1047" s="213"/>
      <c r="G1047" s="213"/>
      <c r="H1047" s="213"/>
    </row>
    <row r="1048" spans="1:8">
      <c r="A1048" s="212"/>
      <c r="B1048" s="213"/>
      <c r="C1048" s="213"/>
      <c r="D1048" s="213"/>
      <c r="E1048" s="213"/>
      <c r="F1048" s="213"/>
      <c r="G1048" s="213"/>
      <c r="H1048" s="213"/>
    </row>
    <row r="1049" spans="1:8">
      <c r="A1049" s="212"/>
      <c r="B1049" s="213"/>
      <c r="C1049" s="213"/>
      <c r="D1049" s="213"/>
      <c r="E1049" s="213"/>
      <c r="F1049" s="213"/>
      <c r="G1049" s="213"/>
      <c r="H1049" s="213"/>
    </row>
    <row r="1050" spans="1:8">
      <c r="A1050" s="212"/>
      <c r="B1050" s="213"/>
      <c r="C1050" s="213"/>
      <c r="D1050" s="213"/>
      <c r="E1050" s="213"/>
      <c r="F1050" s="213"/>
      <c r="G1050" s="213"/>
      <c r="H1050" s="213"/>
    </row>
    <row r="1051" spans="1:8">
      <c r="A1051" s="212"/>
      <c r="B1051" s="213"/>
      <c r="C1051" s="213"/>
      <c r="D1051" s="213"/>
      <c r="E1051" s="213"/>
      <c r="F1051" s="213"/>
      <c r="G1051" s="213"/>
      <c r="H1051" s="213"/>
    </row>
    <row r="1052" spans="1:8">
      <c r="A1052" s="212"/>
      <c r="B1052" s="213"/>
      <c r="C1052" s="213"/>
      <c r="D1052" s="213"/>
      <c r="E1052" s="213"/>
      <c r="F1052" s="213"/>
      <c r="G1052" s="213"/>
      <c r="H1052" s="213"/>
    </row>
    <row r="1053" spans="1:8">
      <c r="A1053" s="212"/>
      <c r="B1053" s="213"/>
      <c r="C1053" s="213"/>
      <c r="D1053" s="213"/>
      <c r="E1053" s="213"/>
      <c r="F1053" s="213"/>
      <c r="G1053" s="213"/>
      <c r="H1053" s="213"/>
    </row>
    <row r="1054" spans="1:8">
      <c r="A1054" s="212"/>
      <c r="B1054" s="213"/>
      <c r="C1054" s="213"/>
      <c r="D1054" s="213"/>
      <c r="E1054" s="213"/>
      <c r="F1054" s="213"/>
      <c r="G1054" s="213"/>
      <c r="H1054" s="213"/>
    </row>
    <row r="1055" spans="1:8">
      <c r="A1055" s="212"/>
      <c r="B1055" s="213"/>
      <c r="C1055" s="213"/>
      <c r="D1055" s="213"/>
      <c r="E1055" s="213"/>
      <c r="F1055" s="213"/>
      <c r="G1055" s="213"/>
      <c r="H1055" s="213"/>
    </row>
    <row r="1056" spans="1:8">
      <c r="A1056" s="212"/>
      <c r="B1056" s="213"/>
      <c r="C1056" s="213"/>
      <c r="D1056" s="213"/>
      <c r="E1056" s="213"/>
      <c r="F1056" s="213"/>
      <c r="G1056" s="213"/>
      <c r="H1056" s="213"/>
    </row>
    <row r="1057" spans="1:8">
      <c r="A1057" s="212"/>
      <c r="B1057" s="213"/>
      <c r="C1057" s="213"/>
      <c r="D1057" s="213"/>
      <c r="E1057" s="213"/>
      <c r="F1057" s="213"/>
      <c r="G1057" s="213"/>
      <c r="H1057" s="213"/>
    </row>
    <row r="1058" spans="1:8">
      <c r="A1058" s="212"/>
      <c r="B1058" s="213"/>
      <c r="C1058" s="213"/>
      <c r="D1058" s="213"/>
      <c r="E1058" s="213"/>
      <c r="F1058" s="213"/>
      <c r="G1058" s="213"/>
      <c r="H1058" s="213"/>
    </row>
    <row r="1059" spans="1:8">
      <c r="A1059" s="212"/>
      <c r="B1059" s="213"/>
      <c r="C1059" s="213"/>
      <c r="D1059" s="213"/>
      <c r="E1059" s="213"/>
      <c r="F1059" s="213"/>
      <c r="G1059" s="213"/>
      <c r="H1059" s="213"/>
    </row>
    <row r="1060" spans="1:8">
      <c r="A1060" s="212"/>
      <c r="B1060" s="213"/>
      <c r="C1060" s="213"/>
      <c r="D1060" s="213"/>
      <c r="E1060" s="213"/>
      <c r="F1060" s="213"/>
      <c r="G1060" s="213"/>
      <c r="H1060" s="213"/>
    </row>
    <row r="1061" spans="1:8">
      <c r="A1061" s="212"/>
      <c r="B1061" s="213"/>
      <c r="C1061" s="213"/>
      <c r="D1061" s="213"/>
      <c r="E1061" s="213"/>
      <c r="F1061" s="213"/>
      <c r="G1061" s="213"/>
      <c r="H1061" s="213"/>
    </row>
    <row r="1062" spans="1:8">
      <c r="A1062" s="212"/>
      <c r="B1062" s="213"/>
      <c r="C1062" s="213"/>
      <c r="D1062" s="213"/>
      <c r="E1062" s="213"/>
      <c r="F1062" s="213"/>
      <c r="G1062" s="213"/>
      <c r="H1062" s="213"/>
    </row>
    <row r="1063" spans="1:8">
      <c r="A1063" s="212"/>
      <c r="B1063" s="213"/>
      <c r="C1063" s="213"/>
      <c r="D1063" s="213"/>
      <c r="E1063" s="213"/>
      <c r="F1063" s="213"/>
      <c r="G1063" s="213"/>
      <c r="H1063" s="213"/>
    </row>
    <row r="1064" spans="1:8">
      <c r="A1064" s="212"/>
      <c r="B1064" s="213"/>
      <c r="C1064" s="213"/>
      <c r="D1064" s="213"/>
      <c r="E1064" s="213"/>
      <c r="F1064" s="213"/>
      <c r="G1064" s="213"/>
      <c r="H1064" s="213"/>
    </row>
    <row r="1065" spans="1:8">
      <c r="A1065" s="212"/>
      <c r="B1065" s="213"/>
      <c r="C1065" s="213"/>
      <c r="D1065" s="213"/>
      <c r="E1065" s="213"/>
      <c r="F1065" s="213"/>
      <c r="G1065" s="213"/>
      <c r="H1065" s="213"/>
    </row>
    <row r="1066" spans="1:8">
      <c r="A1066" s="212"/>
      <c r="B1066" s="213"/>
      <c r="C1066" s="213"/>
      <c r="D1066" s="213"/>
      <c r="E1066" s="213"/>
      <c r="F1066" s="213"/>
      <c r="G1066" s="213"/>
      <c r="H1066" s="213"/>
    </row>
    <row r="1067" spans="1:8">
      <c r="A1067" s="212"/>
      <c r="B1067" s="213"/>
      <c r="C1067" s="213"/>
      <c r="D1067" s="213"/>
      <c r="E1067" s="213"/>
      <c r="F1067" s="213"/>
      <c r="G1067" s="213"/>
      <c r="H1067" s="213"/>
    </row>
    <row r="1068" spans="1:8">
      <c r="A1068" s="212"/>
      <c r="B1068" s="213"/>
      <c r="C1068" s="213"/>
      <c r="D1068" s="213"/>
      <c r="E1068" s="213"/>
      <c r="F1068" s="213"/>
      <c r="G1068" s="213"/>
      <c r="H1068" s="213"/>
    </row>
    <row r="1069" spans="1:8">
      <c r="A1069" s="212"/>
      <c r="B1069" s="213"/>
      <c r="C1069" s="213"/>
      <c r="D1069" s="213"/>
      <c r="E1069" s="213"/>
      <c r="F1069" s="213"/>
      <c r="G1069" s="213"/>
      <c r="H1069" s="213"/>
    </row>
    <row r="1070" spans="1:8">
      <c r="A1070" s="212"/>
      <c r="B1070" s="213"/>
      <c r="C1070" s="213"/>
      <c r="D1070" s="213"/>
      <c r="E1070" s="213"/>
      <c r="F1070" s="213"/>
      <c r="G1070" s="213"/>
      <c r="H1070" s="213"/>
    </row>
    <row r="1071" spans="1:8">
      <c r="A1071" s="212"/>
      <c r="B1071" s="213"/>
      <c r="C1071" s="213"/>
      <c r="D1071" s="213"/>
      <c r="E1071" s="213"/>
      <c r="F1071" s="213"/>
      <c r="G1071" s="213"/>
      <c r="H1071" s="213"/>
    </row>
    <row r="1072" spans="1:8">
      <c r="A1072" s="212"/>
      <c r="B1072" s="213"/>
      <c r="C1072" s="213"/>
      <c r="D1072" s="213"/>
      <c r="E1072" s="213"/>
      <c r="F1072" s="213"/>
      <c r="G1072" s="213"/>
      <c r="H1072" s="213"/>
    </row>
    <row r="1073" spans="1:8">
      <c r="A1073" s="212"/>
      <c r="B1073" s="213"/>
      <c r="C1073" s="213"/>
      <c r="D1073" s="213"/>
      <c r="E1073" s="213"/>
      <c r="F1073" s="213"/>
      <c r="G1073" s="213"/>
      <c r="H1073" s="213"/>
    </row>
    <row r="1074" spans="1:8">
      <c r="A1074" s="212"/>
      <c r="B1074" s="213"/>
      <c r="C1074" s="213"/>
      <c r="D1074" s="213"/>
      <c r="E1074" s="213"/>
      <c r="F1074" s="213"/>
      <c r="G1074" s="213"/>
      <c r="H1074" s="213"/>
    </row>
    <row r="1075" spans="1:8">
      <c r="A1075" s="212"/>
      <c r="B1075" s="213"/>
      <c r="C1075" s="213"/>
      <c r="D1075" s="213"/>
      <c r="E1075" s="213"/>
      <c r="F1075" s="213"/>
      <c r="G1075" s="213"/>
      <c r="H1075" s="213"/>
    </row>
    <row r="1076" spans="1:8">
      <c r="A1076" s="212"/>
      <c r="B1076" s="213"/>
      <c r="C1076" s="213"/>
      <c r="D1076" s="213"/>
      <c r="E1076" s="213"/>
      <c r="F1076" s="213"/>
      <c r="G1076" s="213"/>
      <c r="H1076" s="213"/>
    </row>
    <row r="1077" spans="1:8">
      <c r="A1077" s="212"/>
      <c r="B1077" s="213"/>
      <c r="C1077" s="213"/>
      <c r="D1077" s="213"/>
      <c r="E1077" s="213"/>
      <c r="F1077" s="213"/>
      <c r="G1077" s="213"/>
      <c r="H1077" s="213"/>
    </row>
    <row r="1078" spans="1:8">
      <c r="A1078" s="212"/>
      <c r="B1078" s="213"/>
      <c r="C1078" s="213"/>
      <c r="D1078" s="213"/>
      <c r="E1078" s="213"/>
      <c r="F1078" s="213"/>
      <c r="G1078" s="213"/>
      <c r="H1078" s="213"/>
    </row>
    <row r="1079" spans="1:8">
      <c r="A1079" s="212"/>
      <c r="B1079" s="213"/>
      <c r="C1079" s="213"/>
      <c r="D1079" s="213"/>
      <c r="E1079" s="213"/>
      <c r="F1079" s="213"/>
      <c r="G1079" s="213"/>
      <c r="H1079" s="213"/>
    </row>
    <row r="1080" spans="1:8">
      <c r="A1080" s="212"/>
      <c r="B1080" s="213"/>
      <c r="C1080" s="213"/>
      <c r="D1080" s="213"/>
      <c r="E1080" s="213"/>
      <c r="F1080" s="213"/>
      <c r="G1080" s="213"/>
      <c r="H1080" s="213"/>
    </row>
    <row r="1081" spans="1:8">
      <c r="A1081" s="212"/>
      <c r="B1081" s="213"/>
      <c r="C1081" s="213"/>
      <c r="D1081" s="213"/>
      <c r="E1081" s="213"/>
      <c r="F1081" s="213"/>
      <c r="G1081" s="213"/>
      <c r="H1081" s="213"/>
    </row>
    <row r="1082" spans="1:8">
      <c r="A1082" s="212"/>
      <c r="B1082" s="213"/>
      <c r="C1082" s="213"/>
      <c r="D1082" s="213"/>
      <c r="E1082" s="213"/>
      <c r="F1082" s="213"/>
      <c r="G1082" s="213"/>
      <c r="H1082" s="213"/>
    </row>
    <row r="1083" spans="1:8">
      <c r="A1083" s="212"/>
      <c r="B1083" s="213"/>
      <c r="C1083" s="213"/>
      <c r="D1083" s="213"/>
      <c r="E1083" s="213"/>
      <c r="F1083" s="213"/>
      <c r="G1083" s="213"/>
      <c r="H1083" s="213"/>
    </row>
    <row r="1084" spans="1:8">
      <c r="A1084" s="212"/>
      <c r="B1084" s="213"/>
      <c r="C1084" s="213"/>
      <c r="D1084" s="213"/>
      <c r="E1084" s="213"/>
      <c r="F1084" s="213"/>
      <c r="G1084" s="213"/>
      <c r="H1084" s="213"/>
    </row>
    <row r="1085" spans="1:8">
      <c r="A1085" s="212"/>
      <c r="B1085" s="213"/>
      <c r="C1085" s="213"/>
      <c r="D1085" s="213"/>
      <c r="E1085" s="213"/>
      <c r="F1085" s="213"/>
      <c r="G1085" s="213"/>
      <c r="H1085" s="213"/>
    </row>
    <row r="1086" spans="1:8">
      <c r="A1086" s="212"/>
      <c r="B1086" s="213"/>
      <c r="C1086" s="213"/>
      <c r="D1086" s="213"/>
      <c r="E1086" s="213"/>
      <c r="F1086" s="213"/>
      <c r="G1086" s="213"/>
      <c r="H1086" s="213"/>
    </row>
    <row r="1087" spans="1:8">
      <c r="A1087" s="212"/>
      <c r="B1087" s="213"/>
      <c r="C1087" s="213"/>
      <c r="D1087" s="213"/>
      <c r="E1087" s="213"/>
      <c r="F1087" s="213"/>
      <c r="G1087" s="213"/>
      <c r="H1087" s="213"/>
    </row>
    <row r="1088" spans="1:8">
      <c r="A1088" s="212"/>
      <c r="B1088" s="213"/>
      <c r="C1088" s="213"/>
      <c r="D1088" s="213"/>
      <c r="E1088" s="213"/>
      <c r="F1088" s="213"/>
      <c r="G1088" s="213"/>
      <c r="H1088" s="213"/>
    </row>
    <row r="1089" spans="1:8">
      <c r="A1089" s="212"/>
      <c r="B1089" s="213"/>
      <c r="C1089" s="213"/>
      <c r="D1089" s="213"/>
      <c r="E1089" s="213"/>
      <c r="F1089" s="213"/>
      <c r="G1089" s="213"/>
      <c r="H1089" s="213"/>
    </row>
    <row r="1090" spans="1:8">
      <c r="A1090" s="212"/>
      <c r="B1090" s="213"/>
      <c r="C1090" s="213"/>
      <c r="D1090" s="213"/>
      <c r="E1090" s="213"/>
      <c r="F1090" s="213"/>
      <c r="G1090" s="213"/>
      <c r="H1090" s="213"/>
    </row>
    <row r="1091" spans="1:8">
      <c r="A1091" s="212"/>
      <c r="B1091" s="213"/>
      <c r="C1091" s="213"/>
      <c r="D1091" s="213"/>
      <c r="E1091" s="213"/>
      <c r="F1091" s="213"/>
      <c r="G1091" s="213"/>
      <c r="H1091" s="213"/>
    </row>
    <row r="1092" spans="1:8">
      <c r="A1092" s="212"/>
      <c r="B1092" s="213"/>
      <c r="C1092" s="213"/>
      <c r="D1092" s="213"/>
      <c r="E1092" s="213"/>
      <c r="F1092" s="213"/>
      <c r="G1092" s="213"/>
      <c r="H1092" s="213"/>
    </row>
    <row r="1093" spans="1:8">
      <c r="A1093" s="212"/>
      <c r="B1093" s="213"/>
      <c r="C1093" s="213"/>
      <c r="D1093" s="213"/>
      <c r="E1093" s="213"/>
      <c r="F1093" s="213"/>
      <c r="G1093" s="213"/>
      <c r="H1093" s="213"/>
    </row>
    <row r="1094" spans="1:8">
      <c r="A1094" s="212"/>
      <c r="B1094" s="213"/>
      <c r="C1094" s="213"/>
      <c r="D1094" s="213"/>
      <c r="E1094" s="213"/>
      <c r="F1094" s="213"/>
      <c r="G1094" s="213"/>
      <c r="H1094" s="213"/>
    </row>
    <row r="1095" spans="1:8">
      <c r="A1095" s="212"/>
      <c r="B1095" s="213"/>
      <c r="C1095" s="213"/>
      <c r="D1095" s="213"/>
      <c r="E1095" s="213"/>
      <c r="F1095" s="213"/>
      <c r="G1095" s="213"/>
      <c r="H1095" s="213"/>
    </row>
    <row r="1096" spans="1:8">
      <c r="A1096" s="212"/>
      <c r="B1096" s="213"/>
      <c r="C1096" s="213"/>
      <c r="D1096" s="213"/>
      <c r="E1096" s="213"/>
      <c r="F1096" s="213"/>
      <c r="G1096" s="213"/>
      <c r="H1096" s="213"/>
    </row>
    <row r="1097" spans="1:8">
      <c r="A1097" s="212"/>
      <c r="B1097" s="213"/>
      <c r="C1097" s="213"/>
      <c r="D1097" s="213"/>
      <c r="E1097" s="213"/>
      <c r="F1097" s="213"/>
      <c r="G1097" s="213"/>
      <c r="H1097" s="213"/>
    </row>
    <row r="1098" spans="1:8">
      <c r="A1098" s="212"/>
      <c r="B1098" s="213"/>
      <c r="C1098" s="213"/>
      <c r="D1098" s="213"/>
      <c r="E1098" s="213"/>
      <c r="F1098" s="213"/>
      <c r="G1098" s="213"/>
      <c r="H1098" s="213"/>
    </row>
    <row r="1099" spans="1:8">
      <c r="A1099" s="212"/>
      <c r="B1099" s="213"/>
      <c r="C1099" s="213"/>
      <c r="D1099" s="213"/>
      <c r="E1099" s="213"/>
      <c r="F1099" s="213"/>
      <c r="G1099" s="213"/>
      <c r="H1099" s="213"/>
    </row>
    <row r="1100" spans="1:8">
      <c r="A1100" s="212"/>
      <c r="B1100" s="213"/>
      <c r="C1100" s="213"/>
      <c r="D1100" s="213"/>
      <c r="E1100" s="213"/>
      <c r="F1100" s="213"/>
      <c r="G1100" s="213"/>
      <c r="H1100" s="213"/>
    </row>
    <row r="1101" spans="1:8">
      <c r="A1101" s="212"/>
      <c r="B1101" s="213"/>
      <c r="C1101" s="213"/>
      <c r="D1101" s="213"/>
      <c r="E1101" s="213"/>
      <c r="F1101" s="213"/>
      <c r="G1101" s="213"/>
      <c r="H1101" s="213"/>
    </row>
    <row r="1102" spans="1:8">
      <c r="A1102" s="212"/>
      <c r="B1102" s="213"/>
      <c r="C1102" s="213"/>
      <c r="D1102" s="213"/>
      <c r="E1102" s="213"/>
      <c r="F1102" s="213"/>
      <c r="G1102" s="213"/>
      <c r="H1102" s="213"/>
    </row>
    <row r="1103" spans="1:8">
      <c r="A1103" s="212"/>
      <c r="B1103" s="213"/>
      <c r="C1103" s="213"/>
      <c r="D1103" s="213"/>
      <c r="E1103" s="213"/>
      <c r="F1103" s="213"/>
      <c r="G1103" s="213"/>
      <c r="H1103" s="213"/>
    </row>
    <row r="1104" spans="1:8">
      <c r="A1104" s="212"/>
      <c r="B1104" s="213"/>
      <c r="C1104" s="213"/>
      <c r="D1104" s="213"/>
      <c r="E1104" s="213"/>
      <c r="F1104" s="213"/>
      <c r="G1104" s="213"/>
      <c r="H1104" s="213"/>
    </row>
    <row r="1105" spans="1:8">
      <c r="A1105" s="212"/>
      <c r="B1105" s="213"/>
      <c r="C1105" s="213"/>
      <c r="D1105" s="213"/>
      <c r="E1105" s="213"/>
      <c r="F1105" s="213"/>
      <c r="G1105" s="213"/>
      <c r="H1105" s="213"/>
    </row>
    <row r="1106" spans="1:8">
      <c r="A1106" s="212"/>
      <c r="B1106" s="213"/>
      <c r="C1106" s="213"/>
      <c r="D1106" s="213"/>
      <c r="E1106" s="213"/>
      <c r="F1106" s="213"/>
      <c r="G1106" s="213"/>
      <c r="H1106" s="213"/>
    </row>
    <row r="1107" spans="1:8">
      <c r="A1107" s="212"/>
      <c r="B1107" s="213"/>
      <c r="C1107" s="213"/>
      <c r="D1107" s="213"/>
      <c r="E1107" s="213"/>
      <c r="F1107" s="213"/>
      <c r="G1107" s="213"/>
      <c r="H1107" s="213"/>
    </row>
    <row r="1108" spans="1:8">
      <c r="A1108" s="212"/>
      <c r="B1108" s="213"/>
      <c r="C1108" s="213"/>
      <c r="D1108" s="213"/>
      <c r="E1108" s="213"/>
      <c r="F1108" s="213"/>
      <c r="G1108" s="213"/>
      <c r="H1108" s="213"/>
    </row>
    <row r="1109" spans="1:8">
      <c r="A1109" s="212"/>
      <c r="B1109" s="213"/>
      <c r="C1109" s="213"/>
      <c r="D1109" s="213"/>
      <c r="E1109" s="213"/>
      <c r="F1109" s="213"/>
      <c r="G1109" s="213"/>
      <c r="H1109" s="213"/>
    </row>
    <row r="1110" spans="1:8">
      <c r="A1110" s="212"/>
      <c r="B1110" s="213"/>
      <c r="C1110" s="213"/>
      <c r="D1110" s="213"/>
      <c r="E1110" s="213"/>
      <c r="F1110" s="213"/>
      <c r="G1110" s="213"/>
      <c r="H1110" s="213"/>
    </row>
    <row r="1111" spans="1:8">
      <c r="A1111" s="212"/>
      <c r="B1111" s="213"/>
      <c r="C1111" s="213"/>
      <c r="D1111" s="213"/>
      <c r="E1111" s="213"/>
      <c r="F1111" s="213"/>
      <c r="G1111" s="213"/>
      <c r="H1111" s="213"/>
    </row>
    <row r="1112" spans="1:8">
      <c r="A1112" s="212"/>
      <c r="B1112" s="213"/>
      <c r="C1112" s="213"/>
      <c r="D1112" s="213"/>
      <c r="E1112" s="213"/>
      <c r="F1112" s="213"/>
      <c r="G1112" s="213"/>
      <c r="H1112" s="213"/>
    </row>
    <row r="1113" spans="1:8">
      <c r="A1113" s="212"/>
      <c r="B1113" s="213"/>
      <c r="C1113" s="213"/>
      <c r="D1113" s="213"/>
      <c r="E1113" s="213"/>
      <c r="F1113" s="213"/>
      <c r="G1113" s="213"/>
      <c r="H1113" s="213"/>
    </row>
    <row r="1114" spans="1:8">
      <c r="A1114" s="212"/>
      <c r="B1114" s="213"/>
      <c r="C1114" s="213"/>
      <c r="D1114" s="213"/>
      <c r="E1114" s="213"/>
      <c r="F1114" s="213"/>
      <c r="G1114" s="213"/>
      <c r="H1114" s="213"/>
    </row>
    <row r="1115" spans="1:8">
      <c r="A1115" s="212"/>
      <c r="B1115" s="213"/>
      <c r="C1115" s="213"/>
      <c r="D1115" s="213"/>
      <c r="E1115" s="213"/>
      <c r="F1115" s="213"/>
      <c r="G1115" s="213"/>
      <c r="H1115" s="213"/>
    </row>
    <row r="1116" spans="1:8">
      <c r="A1116" s="212"/>
      <c r="B1116" s="213"/>
      <c r="C1116" s="213"/>
      <c r="D1116" s="213"/>
      <c r="E1116" s="213"/>
      <c r="F1116" s="213"/>
      <c r="G1116" s="213"/>
      <c r="H1116" s="213"/>
    </row>
    <row r="1117" spans="1:8">
      <c r="A1117" s="212"/>
      <c r="B1117" s="213"/>
      <c r="C1117" s="213"/>
      <c r="D1117" s="213"/>
      <c r="E1117" s="213"/>
      <c r="F1117" s="213"/>
      <c r="G1117" s="213"/>
      <c r="H1117" s="213"/>
    </row>
    <row r="1118" spans="1:8">
      <c r="A1118" s="212"/>
      <c r="B1118" s="213"/>
      <c r="C1118" s="213"/>
      <c r="D1118" s="213"/>
      <c r="E1118" s="213"/>
      <c r="F1118" s="213"/>
      <c r="G1118" s="213"/>
      <c r="H1118" s="213"/>
    </row>
    <row r="1119" spans="1:8">
      <c r="A1119" s="212"/>
      <c r="B1119" s="213"/>
      <c r="C1119" s="213"/>
      <c r="D1119" s="213"/>
      <c r="E1119" s="213"/>
      <c r="F1119" s="213"/>
      <c r="G1119" s="213"/>
      <c r="H1119" s="213"/>
    </row>
    <row r="1120" spans="1:8">
      <c r="A1120" s="212"/>
      <c r="B1120" s="213"/>
      <c r="C1120" s="213"/>
      <c r="D1120" s="213"/>
      <c r="E1120" s="213"/>
      <c r="F1120" s="213"/>
      <c r="G1120" s="213"/>
      <c r="H1120" s="213"/>
    </row>
    <row r="1121" spans="1:8">
      <c r="A1121" s="212"/>
      <c r="B1121" s="213"/>
      <c r="C1121" s="213"/>
      <c r="D1121" s="213"/>
      <c r="E1121" s="213"/>
      <c r="F1121" s="213"/>
      <c r="G1121" s="213"/>
      <c r="H1121" s="213"/>
    </row>
    <row r="1122" spans="1:8">
      <c r="A1122" s="212"/>
      <c r="B1122" s="213"/>
      <c r="C1122" s="213"/>
      <c r="D1122" s="213"/>
      <c r="E1122" s="213"/>
      <c r="F1122" s="213"/>
      <c r="G1122" s="213"/>
      <c r="H1122" s="213"/>
    </row>
    <row r="1123" spans="1:8">
      <c r="A1123" s="212"/>
      <c r="B1123" s="213"/>
      <c r="C1123" s="213"/>
      <c r="D1123" s="213"/>
      <c r="E1123" s="213"/>
      <c r="F1123" s="213"/>
      <c r="G1123" s="213"/>
      <c r="H1123" s="213"/>
    </row>
    <row r="1124" spans="1:8">
      <c r="A1124" s="212"/>
      <c r="B1124" s="213"/>
      <c r="C1124" s="213"/>
      <c r="D1124" s="213"/>
      <c r="E1124" s="213"/>
      <c r="F1124" s="213"/>
      <c r="G1124" s="213"/>
      <c r="H1124" s="213"/>
    </row>
    <row r="1125" spans="1:8">
      <c r="A1125" s="212"/>
      <c r="B1125" s="213"/>
      <c r="C1125" s="213"/>
      <c r="D1125" s="213"/>
      <c r="E1125" s="213"/>
      <c r="F1125" s="213"/>
      <c r="G1125" s="213"/>
      <c r="H1125" s="213"/>
    </row>
    <row r="1126" spans="1:8">
      <c r="A1126" s="212"/>
      <c r="B1126" s="213"/>
      <c r="C1126" s="213"/>
      <c r="D1126" s="213"/>
      <c r="E1126" s="213"/>
      <c r="F1126" s="213"/>
      <c r="G1126" s="213"/>
      <c r="H1126" s="213"/>
    </row>
    <row r="1127" spans="1:8">
      <c r="A1127" s="212"/>
      <c r="B1127" s="213"/>
      <c r="C1127" s="213"/>
      <c r="D1127" s="213"/>
      <c r="E1127" s="213"/>
      <c r="F1127" s="213"/>
      <c r="G1127" s="213"/>
      <c r="H1127" s="213"/>
    </row>
    <row r="1128" spans="1:8">
      <c r="A1128" s="212"/>
      <c r="B1128" s="213"/>
      <c r="C1128" s="213"/>
      <c r="D1128" s="213"/>
      <c r="E1128" s="213"/>
      <c r="F1128" s="213"/>
      <c r="G1128" s="213"/>
      <c r="H1128" s="213"/>
    </row>
    <row r="1129" spans="1:8">
      <c r="A1129" s="212"/>
      <c r="B1129" s="213"/>
      <c r="C1129" s="213"/>
      <c r="D1129" s="213"/>
      <c r="E1129" s="213"/>
      <c r="F1129" s="213"/>
      <c r="G1129" s="213"/>
      <c r="H1129" s="213"/>
    </row>
    <row r="1130" spans="1:8">
      <c r="A1130" s="212"/>
      <c r="B1130" s="213"/>
      <c r="C1130" s="213"/>
      <c r="D1130" s="213"/>
      <c r="E1130" s="213"/>
      <c r="F1130" s="213"/>
      <c r="G1130" s="213"/>
      <c r="H1130" s="213"/>
    </row>
    <row r="1131" spans="1:8">
      <c r="A1131" s="212"/>
      <c r="B1131" s="213"/>
      <c r="C1131" s="213"/>
      <c r="D1131" s="213"/>
      <c r="E1131" s="213"/>
      <c r="F1131" s="213"/>
      <c r="G1131" s="213"/>
      <c r="H1131" s="213"/>
    </row>
    <row r="1132" spans="1:8">
      <c r="A1132" s="212"/>
      <c r="B1132" s="213"/>
      <c r="C1132" s="213"/>
      <c r="D1132" s="213"/>
      <c r="E1132" s="213"/>
      <c r="F1132" s="213"/>
      <c r="G1132" s="213"/>
      <c r="H1132" s="213"/>
    </row>
    <row r="1133" spans="1:8">
      <c r="A1133" s="212"/>
      <c r="B1133" s="213"/>
      <c r="C1133" s="213"/>
      <c r="D1133" s="213"/>
      <c r="E1133" s="213"/>
      <c r="F1133" s="213"/>
      <c r="G1133" s="213"/>
      <c r="H1133" s="213"/>
    </row>
    <row r="1134" spans="1:8">
      <c r="A1134" s="212"/>
      <c r="B1134" s="213"/>
      <c r="C1134" s="213"/>
      <c r="D1134" s="213"/>
      <c r="E1134" s="213"/>
      <c r="F1134" s="213"/>
      <c r="G1134" s="213"/>
      <c r="H1134" s="213"/>
    </row>
    <row r="1135" spans="1:8">
      <c r="A1135" s="212"/>
      <c r="B1135" s="213"/>
      <c r="C1135" s="213"/>
      <c r="D1135" s="213"/>
      <c r="E1135" s="213"/>
      <c r="F1135" s="213"/>
      <c r="G1135" s="213"/>
      <c r="H1135" s="213"/>
    </row>
    <row r="1136" spans="1:8">
      <c r="A1136" s="212"/>
      <c r="B1136" s="213"/>
      <c r="C1136" s="213"/>
      <c r="D1136" s="213"/>
      <c r="E1136" s="213"/>
      <c r="F1136" s="213"/>
      <c r="G1136" s="213"/>
      <c r="H1136" s="213"/>
    </row>
    <row r="1137" spans="1:8">
      <c r="A1137" s="212"/>
      <c r="B1137" s="213"/>
      <c r="C1137" s="213"/>
      <c r="D1137" s="213"/>
      <c r="E1137" s="213"/>
      <c r="F1137" s="213"/>
      <c r="G1137" s="213"/>
      <c r="H1137" s="213"/>
    </row>
    <row r="1138" spans="1:8">
      <c r="A1138" s="212"/>
      <c r="B1138" s="213"/>
      <c r="C1138" s="213"/>
      <c r="D1138" s="213"/>
      <c r="E1138" s="213"/>
      <c r="F1138" s="213"/>
      <c r="G1138" s="213"/>
      <c r="H1138" s="213"/>
    </row>
    <row r="1139" spans="1:8">
      <c r="A1139" s="212"/>
      <c r="B1139" s="213"/>
      <c r="C1139" s="213"/>
      <c r="D1139" s="213"/>
      <c r="E1139" s="213"/>
      <c r="F1139" s="213"/>
      <c r="G1139" s="213"/>
      <c r="H1139" s="213"/>
    </row>
    <row r="1140" spans="1:8">
      <c r="A1140" s="212"/>
      <c r="B1140" s="213"/>
      <c r="C1140" s="213"/>
      <c r="D1140" s="213"/>
      <c r="E1140" s="213"/>
      <c r="F1140" s="213"/>
      <c r="G1140" s="213"/>
      <c r="H1140" s="213"/>
    </row>
    <row r="1141" spans="1:8">
      <c r="A1141" s="212"/>
      <c r="B1141" s="213"/>
      <c r="C1141" s="213"/>
      <c r="D1141" s="213"/>
      <c r="E1141" s="213"/>
      <c r="F1141" s="213"/>
      <c r="G1141" s="213"/>
      <c r="H1141" s="213"/>
    </row>
    <row r="1142" spans="1:8">
      <c r="A1142" s="212"/>
      <c r="B1142" s="213"/>
      <c r="C1142" s="213"/>
      <c r="D1142" s="213"/>
      <c r="E1142" s="213"/>
      <c r="F1142" s="213"/>
      <c r="G1142" s="213"/>
      <c r="H1142" s="213"/>
    </row>
    <row r="1143" spans="1:8">
      <c r="A1143" s="212"/>
      <c r="B1143" s="213"/>
      <c r="C1143" s="213"/>
      <c r="D1143" s="213"/>
      <c r="E1143" s="213"/>
      <c r="F1143" s="213"/>
      <c r="G1143" s="213"/>
      <c r="H1143" s="213"/>
    </row>
    <row r="1144" spans="1:8">
      <c r="A1144" s="212"/>
      <c r="B1144" s="213"/>
      <c r="C1144" s="213"/>
      <c r="D1144" s="213"/>
      <c r="E1144" s="213"/>
      <c r="F1144" s="213"/>
      <c r="G1144" s="213"/>
      <c r="H1144" s="213"/>
    </row>
    <row r="1145" spans="1:8">
      <c r="A1145" s="212"/>
      <c r="B1145" s="213"/>
      <c r="C1145" s="213"/>
      <c r="D1145" s="213"/>
      <c r="E1145" s="213"/>
      <c r="F1145" s="213"/>
      <c r="G1145" s="213"/>
      <c r="H1145" s="213"/>
    </row>
    <row r="1146" spans="1:8">
      <c r="A1146" s="212"/>
      <c r="B1146" s="213"/>
      <c r="C1146" s="213"/>
      <c r="D1146" s="213"/>
      <c r="E1146" s="213"/>
      <c r="F1146" s="213"/>
      <c r="G1146" s="213"/>
      <c r="H1146" s="213"/>
    </row>
    <row r="1147" spans="1:8">
      <c r="A1147" s="212"/>
      <c r="B1147" s="213"/>
      <c r="C1147" s="213"/>
      <c r="D1147" s="213"/>
      <c r="E1147" s="213"/>
      <c r="F1147" s="213"/>
      <c r="G1147" s="213"/>
      <c r="H1147" s="213"/>
    </row>
    <row r="1148" spans="1:8">
      <c r="A1148" s="212"/>
      <c r="B1148" s="213"/>
      <c r="C1148" s="213"/>
      <c r="D1148" s="213"/>
      <c r="E1148" s="213"/>
      <c r="F1148" s="213"/>
      <c r="G1148" s="213"/>
      <c r="H1148" s="213"/>
    </row>
    <row r="1149" spans="1:8">
      <c r="A1149" s="212"/>
      <c r="B1149" s="213"/>
      <c r="C1149" s="213"/>
      <c r="D1149" s="213"/>
      <c r="E1149" s="213"/>
      <c r="F1149" s="213"/>
      <c r="G1149" s="213"/>
      <c r="H1149" s="213"/>
    </row>
    <row r="1150" spans="1:8">
      <c r="A1150" s="212"/>
      <c r="B1150" s="213"/>
      <c r="C1150" s="213"/>
      <c r="D1150" s="213"/>
      <c r="E1150" s="213"/>
      <c r="F1150" s="213"/>
      <c r="G1150" s="213"/>
      <c r="H1150" s="213"/>
    </row>
    <row r="1151" spans="1:8">
      <c r="A1151" s="212"/>
      <c r="B1151" s="213"/>
      <c r="C1151" s="213"/>
      <c r="D1151" s="213"/>
      <c r="E1151" s="213"/>
      <c r="F1151" s="213"/>
      <c r="G1151" s="213"/>
      <c r="H1151" s="213"/>
    </row>
    <row r="1152" spans="1:8">
      <c r="A1152" s="212"/>
      <c r="B1152" s="213"/>
      <c r="C1152" s="213"/>
      <c r="D1152" s="213"/>
      <c r="E1152" s="213"/>
      <c r="F1152" s="213"/>
      <c r="G1152" s="213"/>
      <c r="H1152" s="213"/>
    </row>
    <row r="1153" spans="1:8">
      <c r="A1153" s="212"/>
      <c r="B1153" s="213"/>
      <c r="C1153" s="213"/>
      <c r="D1153" s="213"/>
      <c r="E1153" s="213"/>
      <c r="F1153" s="213"/>
      <c r="G1153" s="213"/>
      <c r="H1153" s="213"/>
    </row>
    <row r="1154" spans="1:8">
      <c r="A1154" s="212"/>
      <c r="B1154" s="213"/>
      <c r="C1154" s="213"/>
      <c r="D1154" s="213"/>
      <c r="E1154" s="213"/>
      <c r="F1154" s="213"/>
      <c r="G1154" s="213"/>
      <c r="H1154" s="213"/>
    </row>
    <row r="1155" spans="1:8">
      <c r="A1155" s="212"/>
      <c r="B1155" s="213"/>
      <c r="C1155" s="213"/>
      <c r="D1155" s="213"/>
      <c r="E1155" s="213"/>
      <c r="F1155" s="213"/>
      <c r="G1155" s="213"/>
      <c r="H1155" s="213"/>
    </row>
    <row r="1156" spans="1:8">
      <c r="A1156" s="212"/>
      <c r="B1156" s="213"/>
      <c r="C1156" s="213"/>
      <c r="D1156" s="213"/>
      <c r="E1156" s="213"/>
      <c r="F1156" s="213"/>
      <c r="G1156" s="213"/>
      <c r="H1156" s="213"/>
    </row>
    <row r="1157" spans="1:8">
      <c r="A1157" s="212"/>
      <c r="B1157" s="213"/>
      <c r="C1157" s="213"/>
      <c r="D1157" s="213"/>
      <c r="E1157" s="213"/>
      <c r="F1157" s="213"/>
      <c r="G1157" s="213"/>
      <c r="H1157" s="213"/>
    </row>
    <row r="1158" spans="1:8">
      <c r="A1158" s="212"/>
      <c r="B1158" s="213"/>
      <c r="C1158" s="213"/>
      <c r="D1158" s="213"/>
      <c r="E1158" s="213"/>
      <c r="F1158" s="213"/>
      <c r="G1158" s="213"/>
      <c r="H1158" s="213"/>
    </row>
    <row r="1159" spans="1:8">
      <c r="A1159" s="212"/>
      <c r="B1159" s="213"/>
      <c r="C1159" s="213"/>
      <c r="D1159" s="213"/>
      <c r="E1159" s="213"/>
      <c r="F1159" s="213"/>
      <c r="G1159" s="213"/>
      <c r="H1159" s="213"/>
    </row>
    <row r="1160" spans="1:8">
      <c r="A1160" s="212"/>
      <c r="B1160" s="213"/>
      <c r="C1160" s="213"/>
      <c r="D1160" s="213"/>
      <c r="E1160" s="213"/>
      <c r="F1160" s="213"/>
      <c r="G1160" s="213"/>
      <c r="H1160" s="213"/>
    </row>
  </sheetData>
  <mergeCells count="1">
    <mergeCell ref="C1:H1"/>
  </mergeCells>
  <conditionalFormatting sqref="C16:G375">
    <cfRule type="expression" dxfId="5" priority="5" stopIfTrue="1">
      <formula>NOT(Loan_Not_Paid)</formula>
    </cfRule>
    <cfRule type="expression" dxfId="4" priority="6" stopIfTrue="1">
      <formula>IF(ROW(C16)=Last_Row,TRUE,FALSE)</formula>
    </cfRule>
  </conditionalFormatting>
  <conditionalFormatting sqref="B16:B375">
    <cfRule type="expression" dxfId="3" priority="3" stopIfTrue="1">
      <formula>NOT(Loan_Not_Paid)</formula>
    </cfRule>
    <cfRule type="expression" dxfId="2" priority="4" stopIfTrue="1">
      <formula>IF(ROW(B16)=Last_Row,TRUE,FALSE)</formula>
    </cfRule>
  </conditionalFormatting>
  <conditionalFormatting sqref="H16:H375">
    <cfRule type="expression" dxfId="1" priority="1" stopIfTrue="1">
      <formula>NOT(Loan_Not_Paid)</formula>
    </cfRule>
    <cfRule type="expression" dxfId="0" priority="2" stopIfTrue="1">
      <formula>IF(ROW(H16)=Last_Row,TRUE,FALSE)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265"/>
  <sheetViews>
    <sheetView topLeftCell="A103" zoomScaleNormal="100" workbookViewId="0">
      <selection activeCell="A126" sqref="A126"/>
    </sheetView>
  </sheetViews>
  <sheetFormatPr defaultRowHeight="15"/>
  <cols>
    <col min="1" max="2" width="9.140625" style="6" customWidth="1"/>
    <col min="3" max="3" width="12.140625" style="6" customWidth="1"/>
    <col min="4" max="4" width="11.28515625" style="6" customWidth="1"/>
    <col min="5" max="5" width="10.85546875" style="6" customWidth="1"/>
    <col min="6" max="6" width="11.28515625" style="6" customWidth="1"/>
    <col min="7" max="7" width="9.140625" style="6" customWidth="1"/>
    <col min="8" max="8" width="9.5703125" style="6" customWidth="1"/>
    <col min="9" max="9" width="8.7109375" style="6" customWidth="1"/>
    <col min="10" max="11" width="9.140625" style="6" customWidth="1"/>
    <col min="12" max="12" width="8.5703125" style="6" customWidth="1"/>
    <col min="13" max="13" width="9.140625" style="6" customWidth="1"/>
    <col min="14" max="14" width="9.85546875" style="6" customWidth="1"/>
    <col min="15" max="15" width="9.7109375" style="6" customWidth="1"/>
    <col min="16" max="16" width="9.140625" style="6" customWidth="1"/>
    <col min="17" max="17" width="9.140625" style="82" customWidth="1"/>
    <col min="18" max="21" width="9.140625" style="6" customWidth="1"/>
    <col min="22" max="16384" width="9.140625" style="6"/>
  </cols>
  <sheetData>
    <row r="1" spans="4:27" s="1" customFormat="1" ht="18.75">
      <c r="D1" s="303">
        <v>1</v>
      </c>
      <c r="E1" s="2" t="s">
        <v>101</v>
      </c>
      <c r="F1" s="3"/>
      <c r="H1" s="2" t="s">
        <v>17</v>
      </c>
      <c r="I1" s="2"/>
      <c r="J1" s="2"/>
      <c r="K1" s="2">
        <v>1</v>
      </c>
      <c r="L1" s="2">
        <v>3</v>
      </c>
      <c r="M1" s="4">
        <f>'Simulazione 7.2'!C3</f>
        <v>3</v>
      </c>
      <c r="N1" s="2"/>
      <c r="O1" s="2"/>
      <c r="P1" s="2" t="b">
        <f>AND($K$1=1,$L$1=1,$M$1&lt;=20)</f>
        <v>0</v>
      </c>
      <c r="Q1" s="5">
        <v>0</v>
      </c>
      <c r="R1" s="2">
        <f>IF(P1=TRUE,Q1,0)</f>
        <v>0</v>
      </c>
    </row>
    <row r="2" spans="4:27">
      <c r="D2" s="304"/>
      <c r="E2" s="2" t="s">
        <v>102</v>
      </c>
      <c r="F2" s="7"/>
      <c r="H2" s="2" t="s">
        <v>16</v>
      </c>
      <c r="I2" s="2"/>
      <c r="J2" s="2"/>
      <c r="K2" s="2"/>
      <c r="P2" s="2" t="b">
        <f>AND($K$1=1,$L$1=2,$M$1&lt;=20)</f>
        <v>0</v>
      </c>
      <c r="Q2" s="5">
        <v>30</v>
      </c>
      <c r="R2" s="2">
        <f>IF(P2=TRUE,Q2,0)</f>
        <v>0</v>
      </c>
      <c r="U2" s="300" t="s">
        <v>159</v>
      </c>
      <c r="V2" s="300"/>
      <c r="W2" s="300"/>
      <c r="X2" s="300"/>
      <c r="Y2" s="300"/>
      <c r="Z2" s="300"/>
      <c r="AA2" s="300"/>
    </row>
    <row r="3" spans="4:27">
      <c r="D3" s="304"/>
      <c r="E3" s="2" t="s">
        <v>103</v>
      </c>
      <c r="F3" s="7"/>
      <c r="H3" s="2" t="s">
        <v>15</v>
      </c>
      <c r="I3" s="2"/>
      <c r="J3" s="2"/>
      <c r="K3" s="2"/>
      <c r="P3" s="2" t="b">
        <f>AND($K$1=1,$L$1=3,$M$1&lt;=20)</f>
        <v>1</v>
      </c>
      <c r="Q3" s="5">
        <v>20</v>
      </c>
      <c r="R3" s="2">
        <f t="shared" ref="R3" si="0">IF(P3=TRUE,Q3,0)</f>
        <v>20</v>
      </c>
      <c r="U3" s="299"/>
      <c r="V3" s="299"/>
      <c r="W3" s="299"/>
      <c r="X3" s="299"/>
      <c r="Y3" s="299"/>
      <c r="Z3" s="299"/>
      <c r="AA3" s="299"/>
    </row>
    <row r="4" spans="4:27">
      <c r="D4" s="304"/>
      <c r="E4" s="2" t="s">
        <v>104</v>
      </c>
      <c r="F4" s="7"/>
      <c r="H4" s="2"/>
      <c r="I4" s="2"/>
      <c r="J4" s="2"/>
      <c r="K4" s="2"/>
      <c r="P4" s="2" t="b">
        <f>AND($K$1=1,$L$1=4,$M$1&lt;=20)</f>
        <v>0</v>
      </c>
      <c r="Q4" s="18">
        <v>50</v>
      </c>
      <c r="R4" s="2">
        <f t="shared" ref="R4:R19" si="1">IF(P4=TRUE,Q4,0)</f>
        <v>0</v>
      </c>
      <c r="U4" s="299"/>
      <c r="V4" s="299"/>
      <c r="W4" s="299"/>
      <c r="X4" s="299"/>
      <c r="Y4" s="299"/>
      <c r="Z4" s="299"/>
      <c r="AA4" s="299"/>
    </row>
    <row r="5" spans="4:27">
      <c r="D5" s="304"/>
      <c r="E5" s="2" t="s">
        <v>105</v>
      </c>
      <c r="F5" s="7"/>
      <c r="H5" s="17"/>
      <c r="P5" s="2" t="b">
        <f>AND($K$1=2,$L$1=1,$M$1&lt;=20)</f>
        <v>0</v>
      </c>
      <c r="Q5" s="5">
        <v>0</v>
      </c>
      <c r="R5" s="2">
        <f t="shared" si="1"/>
        <v>0</v>
      </c>
      <c r="U5" s="299"/>
      <c r="V5" s="299"/>
      <c r="W5" s="299"/>
      <c r="X5" s="299"/>
      <c r="Y5" s="299"/>
      <c r="Z5" s="299"/>
      <c r="AA5" s="299"/>
    </row>
    <row r="6" spans="4:27" ht="15.75" thickBot="1">
      <c r="E6" s="17" t="s">
        <v>156</v>
      </c>
      <c r="H6" s="17"/>
      <c r="P6" s="2" t="b">
        <f>AND($K$1=2,$L$1=2,$M$1&lt;=20)</f>
        <v>0</v>
      </c>
      <c r="Q6" s="18">
        <v>20</v>
      </c>
      <c r="R6" s="2">
        <f t="shared" si="1"/>
        <v>0</v>
      </c>
      <c r="U6" s="299"/>
      <c r="V6" s="299"/>
      <c r="W6" s="299"/>
      <c r="X6" s="299"/>
      <c r="Y6" s="299"/>
      <c r="Z6" s="299"/>
      <c r="AA6" s="299"/>
    </row>
    <row r="7" spans="4:27">
      <c r="D7" s="303">
        <v>1</v>
      </c>
      <c r="E7" s="15" t="s">
        <v>0</v>
      </c>
      <c r="F7" s="16"/>
      <c r="H7" s="23"/>
      <c r="I7" s="15" t="s">
        <v>121</v>
      </c>
      <c r="J7" s="15"/>
      <c r="K7" s="15"/>
      <c r="L7" s="16"/>
      <c r="P7" s="2" t="b">
        <f>AND($K$1=2,$L$1=3,$M$1&lt;=20)</f>
        <v>0</v>
      </c>
      <c r="Q7" s="18">
        <v>10</v>
      </c>
      <c r="R7" s="2">
        <f t="shared" si="1"/>
        <v>0</v>
      </c>
      <c r="U7" s="299"/>
      <c r="V7" s="299"/>
      <c r="W7" s="299"/>
      <c r="X7" s="299"/>
      <c r="Y7" s="299"/>
      <c r="Z7" s="299"/>
      <c r="AA7" s="299"/>
    </row>
    <row r="8" spans="4:27" ht="15.75" thickBot="1">
      <c r="D8" s="305"/>
      <c r="E8" s="19" t="s">
        <v>1</v>
      </c>
      <c r="F8" s="20"/>
      <c r="H8" s="22"/>
      <c r="I8" s="2" t="s">
        <v>122</v>
      </c>
      <c r="J8" s="2"/>
      <c r="K8" s="2"/>
      <c r="L8" s="7"/>
      <c r="P8" s="2" t="b">
        <f>AND($K$1=2,$L$1=4,$M$1&lt;=20)</f>
        <v>0</v>
      </c>
      <c r="Q8" s="18">
        <v>30</v>
      </c>
      <c r="R8" s="2">
        <f t="shared" si="1"/>
        <v>0</v>
      </c>
      <c r="U8" s="299"/>
      <c r="V8" s="299"/>
      <c r="W8" s="299"/>
      <c r="X8" s="299"/>
      <c r="Y8" s="299"/>
      <c r="Z8" s="299"/>
      <c r="AA8" s="299"/>
    </row>
    <row r="9" spans="4:27" ht="15.75" thickBot="1">
      <c r="H9" s="29">
        <v>1</v>
      </c>
      <c r="I9" s="19" t="s">
        <v>123</v>
      </c>
      <c r="J9" s="19"/>
      <c r="K9" s="19"/>
      <c r="L9" s="20"/>
      <c r="P9" s="2" t="b">
        <f>AND($K$1=3,$L$1=1,$M$1&lt;=20)</f>
        <v>0</v>
      </c>
      <c r="Q9" s="5">
        <v>0</v>
      </c>
      <c r="R9" s="2">
        <f t="shared" si="1"/>
        <v>0</v>
      </c>
      <c r="U9" s="299"/>
      <c r="V9" s="299"/>
      <c r="W9" s="299"/>
      <c r="X9" s="299"/>
      <c r="Y9" s="299"/>
      <c r="Z9" s="299"/>
      <c r="AA9" s="299"/>
    </row>
    <row r="10" spans="4:27" ht="15.75" thickBot="1"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" t="b">
        <f>AND($K$1=3,$L$1=2,$M$1&lt;=20)</f>
        <v>0</v>
      </c>
      <c r="Q10" s="18">
        <v>10</v>
      </c>
      <c r="R10" s="2">
        <f t="shared" si="1"/>
        <v>0</v>
      </c>
      <c r="U10" s="299"/>
      <c r="V10" s="299"/>
      <c r="W10" s="299"/>
      <c r="X10" s="299"/>
      <c r="Y10" s="299"/>
      <c r="Z10" s="299"/>
      <c r="AA10" s="299"/>
    </row>
    <row r="11" spans="4:27">
      <c r="D11" s="23"/>
      <c r="E11" s="15"/>
      <c r="F11" s="301" t="s">
        <v>4</v>
      </c>
      <c r="G11" s="302"/>
      <c r="H11" s="82"/>
      <c r="I11" s="82"/>
      <c r="J11" s="79"/>
      <c r="K11" s="15"/>
      <c r="L11" s="301" t="s">
        <v>5</v>
      </c>
      <c r="M11" s="302"/>
      <c r="N11" s="2"/>
      <c r="O11" s="2"/>
      <c r="P11" s="2" t="b">
        <f>AND($K$1=3,$L$1=3,$M$1&lt;=20)</f>
        <v>0</v>
      </c>
      <c r="Q11" s="18">
        <v>5</v>
      </c>
      <c r="R11" s="2">
        <f t="shared" si="1"/>
        <v>0</v>
      </c>
      <c r="U11" s="299"/>
      <c r="V11" s="299"/>
      <c r="W11" s="299"/>
      <c r="X11" s="299"/>
      <c r="Y11" s="299"/>
      <c r="Z11" s="299"/>
      <c r="AA11" s="299"/>
    </row>
    <row r="12" spans="4:27">
      <c r="D12" s="22"/>
      <c r="E12" s="2"/>
      <c r="F12" s="5" t="s">
        <v>2</v>
      </c>
      <c r="G12" s="26" t="s">
        <v>3</v>
      </c>
      <c r="H12" s="82"/>
      <c r="I12" s="82"/>
      <c r="J12" s="80"/>
      <c r="K12" s="2"/>
      <c r="L12" s="5" t="s">
        <v>2</v>
      </c>
      <c r="M12" s="26" t="s">
        <v>3</v>
      </c>
      <c r="N12" s="27"/>
      <c r="O12" s="27"/>
      <c r="P12" s="2" t="b">
        <f>AND($K$1=3,$L$1=4,$M$1&lt;=20)</f>
        <v>0</v>
      </c>
      <c r="Q12" s="18">
        <v>15</v>
      </c>
      <c r="R12" s="2">
        <f t="shared" si="1"/>
        <v>0</v>
      </c>
      <c r="U12" s="299"/>
      <c r="V12" s="299"/>
      <c r="W12" s="299"/>
      <c r="X12" s="299"/>
      <c r="Y12" s="299"/>
      <c r="Z12" s="299"/>
      <c r="AA12" s="299"/>
    </row>
    <row r="13" spans="4:27">
      <c r="D13" s="22" t="b">
        <f>AND($D$1=1,$D$7=1,'Simulazione 7.2'!$C$3&lt;=3,'Simulazione 7.2'!$C$3&gt;=1)</f>
        <v>1</v>
      </c>
      <c r="E13" s="28" t="s">
        <v>6</v>
      </c>
      <c r="F13" s="5">
        <v>208</v>
      </c>
      <c r="G13" s="26">
        <f t="shared" ref="G13:G18" si="2">F13-82</f>
        <v>126</v>
      </c>
      <c r="H13" s="82">
        <f t="shared" ref="H13:H18" si="3">IF(D13=TRUE,F13,0)</f>
        <v>208</v>
      </c>
      <c r="I13" s="82">
        <f t="shared" ref="I13:I18" si="4">IF(D13=TRUE,G13,0)</f>
        <v>126</v>
      </c>
      <c r="J13" s="22" t="b">
        <f>AND($D$1=1,$D$7=2,'Simulazione 7.2'!$C$3&lt;=3,'Simulazione 7.2'!$C$3&gt;=1)</f>
        <v>0</v>
      </c>
      <c r="K13" s="28" t="s">
        <v>6</v>
      </c>
      <c r="L13" s="5">
        <v>201</v>
      </c>
      <c r="M13" s="26">
        <f t="shared" ref="M13:M18" si="5">L13-82</f>
        <v>119</v>
      </c>
      <c r="N13" s="5">
        <f>IF(J13=TRUE,L13,0)</f>
        <v>0</v>
      </c>
      <c r="O13" s="5">
        <f>IF(J13=TRUE,M13,0)</f>
        <v>0</v>
      </c>
      <c r="P13" s="2" t="b">
        <f>AND($K$1=1,$L$1=1,$M$1&gt;20)</f>
        <v>0</v>
      </c>
      <c r="Q13" s="82">
        <v>0</v>
      </c>
      <c r="R13" s="2">
        <f t="shared" si="1"/>
        <v>0</v>
      </c>
      <c r="U13" s="299"/>
      <c r="V13" s="299"/>
      <c r="W13" s="299"/>
      <c r="X13" s="299"/>
      <c r="Y13" s="299"/>
      <c r="Z13" s="299"/>
      <c r="AA13" s="299"/>
    </row>
    <row r="14" spans="4:27">
      <c r="D14" s="22" t="b">
        <f>AND($D$1=1,$D$7=1,'Simulazione 7.2'!$C$3&lt;=20,'Simulazione 7.2'!$C$3&gt;3)</f>
        <v>0</v>
      </c>
      <c r="E14" s="28" t="s">
        <v>7</v>
      </c>
      <c r="F14" s="5">
        <v>196</v>
      </c>
      <c r="G14" s="26">
        <f t="shared" si="2"/>
        <v>114</v>
      </c>
      <c r="H14" s="82">
        <f t="shared" si="3"/>
        <v>0</v>
      </c>
      <c r="I14" s="82">
        <f t="shared" si="4"/>
        <v>0</v>
      </c>
      <c r="J14" s="22" t="b">
        <f>AND($D$1=1,$D$7=2,'Simulazione 7.2'!$C$3&lt;=20,'Simulazione 7.2'!$C$3&gt;3)</f>
        <v>0</v>
      </c>
      <c r="K14" s="28" t="s">
        <v>7</v>
      </c>
      <c r="L14" s="5">
        <v>189</v>
      </c>
      <c r="M14" s="26">
        <f t="shared" si="5"/>
        <v>107</v>
      </c>
      <c r="N14" s="5">
        <f t="shared" ref="N14:N18" si="6">IF(J14=TRUE,L14,0)</f>
        <v>0</v>
      </c>
      <c r="O14" s="5">
        <f t="shared" ref="O14:O18" si="7">IF(J14=TRUE,M14,0)</f>
        <v>0</v>
      </c>
      <c r="P14" s="2" t="b">
        <f>AND($K$1=1,$L$1=2,$M$1&gt;20)</f>
        <v>0</v>
      </c>
      <c r="Q14" s="82">
        <v>20</v>
      </c>
      <c r="R14" s="2">
        <f t="shared" si="1"/>
        <v>0</v>
      </c>
      <c r="U14" s="299"/>
      <c r="V14" s="299"/>
      <c r="W14" s="299"/>
      <c r="X14" s="299"/>
      <c r="Y14" s="299"/>
      <c r="Z14" s="299"/>
      <c r="AA14" s="299"/>
    </row>
    <row r="15" spans="4:27" ht="22.5" customHeight="1">
      <c r="D15" s="22" t="b">
        <f>AND($D$1=1,$D$7=1,'Simulazione 7.2'!$C$3&lt;=200,'Simulazione 7.2'!$C$3&gt;20)</f>
        <v>0</v>
      </c>
      <c r="E15" s="28" t="s">
        <v>8</v>
      </c>
      <c r="F15" s="5">
        <v>175</v>
      </c>
      <c r="G15" s="26">
        <f t="shared" si="2"/>
        <v>93</v>
      </c>
      <c r="H15" s="82">
        <f t="shared" si="3"/>
        <v>0</v>
      </c>
      <c r="I15" s="82">
        <f t="shared" si="4"/>
        <v>0</v>
      </c>
      <c r="J15" s="22" t="b">
        <f>AND($D$1=1,$D$7=2,'Simulazione 7.2'!$C$3&lt;=200,'Simulazione 7.2'!$C$3&gt;20)</f>
        <v>0</v>
      </c>
      <c r="K15" s="28" t="s">
        <v>8</v>
      </c>
      <c r="L15" s="5">
        <v>168</v>
      </c>
      <c r="M15" s="26">
        <f t="shared" si="5"/>
        <v>86</v>
      </c>
      <c r="N15" s="5">
        <f t="shared" si="6"/>
        <v>0</v>
      </c>
      <c r="O15" s="5">
        <f t="shared" si="7"/>
        <v>0</v>
      </c>
      <c r="P15" s="2" t="b">
        <f>AND($K$1=1,$L$1=3,$M$1&gt;20)</f>
        <v>0</v>
      </c>
      <c r="Q15" s="82">
        <v>20</v>
      </c>
      <c r="R15" s="2">
        <f t="shared" si="1"/>
        <v>0</v>
      </c>
      <c r="U15" s="299"/>
      <c r="V15" s="299"/>
      <c r="W15" s="299"/>
      <c r="X15" s="299"/>
      <c r="Y15" s="299"/>
      <c r="Z15" s="299"/>
      <c r="AA15" s="299"/>
    </row>
    <row r="16" spans="4:27" ht="13.5" customHeight="1">
      <c r="D16" s="22" t="b">
        <f>AND($D$1=1,$D$7=1,'Simulazione 7.2'!$C$3&lt;=1000,'Simulazione 7.2'!$C$3&gt;200)</f>
        <v>0</v>
      </c>
      <c r="E16" s="28" t="s">
        <v>9</v>
      </c>
      <c r="F16" s="5">
        <v>142</v>
      </c>
      <c r="G16" s="26">
        <f t="shared" si="2"/>
        <v>60</v>
      </c>
      <c r="H16" s="82">
        <f t="shared" si="3"/>
        <v>0</v>
      </c>
      <c r="I16" s="82">
        <f t="shared" si="4"/>
        <v>0</v>
      </c>
      <c r="J16" s="22" t="b">
        <f>AND($D$1=1,$D$7=2,'Simulazione 7.2'!$C$3&lt;=1000,'Simulazione 7.2'!$C$3&gt;200)</f>
        <v>0</v>
      </c>
      <c r="K16" s="28" t="s">
        <v>9</v>
      </c>
      <c r="L16" s="5">
        <v>135</v>
      </c>
      <c r="M16" s="26">
        <f t="shared" si="5"/>
        <v>53</v>
      </c>
      <c r="N16" s="5">
        <f t="shared" si="6"/>
        <v>0</v>
      </c>
      <c r="O16" s="5">
        <f t="shared" si="7"/>
        <v>0</v>
      </c>
      <c r="P16" s="2" t="b">
        <f>AND($K$1=1,$L$1=4,$M$1&gt;20)</f>
        <v>0</v>
      </c>
      <c r="Q16" s="82">
        <v>40</v>
      </c>
      <c r="R16" s="2">
        <f t="shared" si="1"/>
        <v>0</v>
      </c>
    </row>
    <row r="17" spans="4:21">
      <c r="D17" s="22" t="b">
        <f>AND($D$1=1,$D$7=1,'Simulazione 7.2'!$C$3&lt;=5000,'Simulazione 7.2'!$C$3&gt;1000)</f>
        <v>0</v>
      </c>
      <c r="E17" s="28" t="s">
        <v>10</v>
      </c>
      <c r="F17" s="5">
        <v>126</v>
      </c>
      <c r="G17" s="26">
        <f t="shared" si="2"/>
        <v>44</v>
      </c>
      <c r="H17" s="82">
        <f t="shared" si="3"/>
        <v>0</v>
      </c>
      <c r="I17" s="82">
        <f t="shared" si="4"/>
        <v>0</v>
      </c>
      <c r="J17" s="22" t="b">
        <f>AND($D$1=1,$D$7=2,'Simulazione 7.2'!$C$3&lt;=5000,'Simulazione 7.2'!$C$3&gt;1000)</f>
        <v>0</v>
      </c>
      <c r="K17" s="28" t="s">
        <v>10</v>
      </c>
      <c r="L17" s="5">
        <v>120</v>
      </c>
      <c r="M17" s="26">
        <f t="shared" si="5"/>
        <v>38</v>
      </c>
      <c r="N17" s="5">
        <f t="shared" si="6"/>
        <v>0</v>
      </c>
      <c r="O17" s="5">
        <f t="shared" si="7"/>
        <v>0</v>
      </c>
      <c r="P17" s="2" t="b">
        <f>AND($K$1=2,$L$1=1,$M$1&gt;20)</f>
        <v>0</v>
      </c>
      <c r="Q17" s="82">
        <v>0</v>
      </c>
      <c r="R17" s="2">
        <f t="shared" si="1"/>
        <v>0</v>
      </c>
    </row>
    <row r="18" spans="4:21" ht="15.75" thickBot="1">
      <c r="D18" s="29" t="b">
        <f>AND($D$1=1,$D$7=1,'Simulazione 7.2'!$C$3&gt;=5000)</f>
        <v>0</v>
      </c>
      <c r="E18" s="35" t="s">
        <v>11</v>
      </c>
      <c r="F18" s="36">
        <v>119</v>
      </c>
      <c r="G18" s="37">
        <f t="shared" si="2"/>
        <v>37</v>
      </c>
      <c r="H18" s="82">
        <f t="shared" si="3"/>
        <v>0</v>
      </c>
      <c r="I18" s="82">
        <f t="shared" si="4"/>
        <v>0</v>
      </c>
      <c r="J18" s="29" t="b">
        <f>AND($D$1=1,$D$7=2,'Simulazione 7.2'!$C$3&gt;=5000)</f>
        <v>0</v>
      </c>
      <c r="K18" s="35" t="s">
        <v>11</v>
      </c>
      <c r="L18" s="36">
        <v>113</v>
      </c>
      <c r="M18" s="37">
        <f t="shared" si="5"/>
        <v>31</v>
      </c>
      <c r="N18" s="5">
        <f t="shared" si="6"/>
        <v>0</v>
      </c>
      <c r="O18" s="5">
        <f t="shared" si="7"/>
        <v>0</v>
      </c>
      <c r="P18" s="2" t="b">
        <f>AND($K$1=2,$L$1=2,$M$1&gt;20)</f>
        <v>0</v>
      </c>
      <c r="Q18" s="82">
        <v>10</v>
      </c>
      <c r="R18" s="2">
        <f t="shared" si="1"/>
        <v>0</v>
      </c>
    </row>
    <row r="19" spans="4:21" ht="15.75" thickBot="1">
      <c r="F19" s="82"/>
      <c r="G19" s="82"/>
      <c r="H19" s="42">
        <f>IF($H$9=1,H13+H14+H15+H16+H17+H18,0)</f>
        <v>208</v>
      </c>
      <c r="I19" s="42">
        <f>IF($H$9=1,I13+I14+I15+I16+I17+I18,0)</f>
        <v>126</v>
      </c>
      <c r="K19" s="82"/>
      <c r="L19" s="82"/>
      <c r="M19" s="82"/>
      <c r="N19" s="42">
        <f>IF($H$9=1,N13+N14+N15+N16+N17+N18,0)</f>
        <v>0</v>
      </c>
      <c r="O19" s="42">
        <f>IF($H$9=1,O13+O14+O15+O16+O17+O18,0)</f>
        <v>0</v>
      </c>
      <c r="P19" s="2" t="b">
        <f>AND($K$1=2,$L$1=3,$M$1&gt;20)</f>
        <v>0</v>
      </c>
      <c r="Q19" s="82">
        <v>10</v>
      </c>
      <c r="R19" s="2">
        <f t="shared" si="1"/>
        <v>0</v>
      </c>
    </row>
    <row r="20" spans="4:21" ht="24" customHeight="1">
      <c r="F20" s="82"/>
      <c r="G20" s="82"/>
      <c r="H20" s="5"/>
      <c r="I20" s="5"/>
      <c r="K20" s="82"/>
      <c r="L20" s="82"/>
      <c r="M20" s="82"/>
      <c r="N20" s="5"/>
      <c r="O20" s="5"/>
      <c r="P20" s="2" t="b">
        <f>AND($K$1=2,$L$1=4,$M$1&gt;20)</f>
        <v>0</v>
      </c>
      <c r="Q20" s="90">
        <v>20</v>
      </c>
      <c r="R20" s="2">
        <f t="shared" ref="R20" si="8">IF(P20=TRUE,Q20,0)</f>
        <v>0</v>
      </c>
    </row>
    <row r="21" spans="4:21" ht="12.75" customHeight="1" thickBot="1">
      <c r="F21" s="299"/>
      <c r="G21" s="299"/>
      <c r="H21" s="82"/>
      <c r="I21" s="82"/>
      <c r="K21" s="82"/>
      <c r="L21" s="299"/>
      <c r="M21" s="299"/>
      <c r="N21" s="82"/>
      <c r="O21" s="82"/>
      <c r="P21" s="2" t="b">
        <f>AND($K$1=3,$L$1=1,$M$1&gt;20)</f>
        <v>0</v>
      </c>
      <c r="Q21" s="49">
        <v>0</v>
      </c>
      <c r="R21" s="46">
        <f t="shared" ref="R21:R24" si="9">IF(P21=TRUE,Q21,0)</f>
        <v>0</v>
      </c>
    </row>
    <row r="22" spans="4:21" s="46" customFormat="1" ht="22.5" customHeight="1">
      <c r="D22" s="83"/>
      <c r="E22" s="84"/>
      <c r="F22" s="85" t="s">
        <v>2</v>
      </c>
      <c r="G22" s="86" t="s">
        <v>3</v>
      </c>
      <c r="H22" s="49"/>
      <c r="I22" s="49"/>
      <c r="J22" s="83"/>
      <c r="K22" s="84"/>
      <c r="L22" s="85" t="s">
        <v>2</v>
      </c>
      <c r="M22" s="86" t="s">
        <v>3</v>
      </c>
      <c r="N22" s="47"/>
      <c r="O22" s="47"/>
      <c r="P22" s="2" t="b">
        <f>AND($K$1=3,$L$1=2,$M$1&gt;20)</f>
        <v>0</v>
      </c>
      <c r="Q22" s="53">
        <v>5</v>
      </c>
      <c r="R22" s="11">
        <f t="shared" si="9"/>
        <v>0</v>
      </c>
    </row>
    <row r="23" spans="4:21" s="50" customFormat="1" ht="15.75">
      <c r="D23" s="22" t="b">
        <f>AND($D$1=2,$D$7=1,'Simulazione 7.2'!$C$3&lt;=3,'Simulazione 7.2'!$C$3&gt;=1)</f>
        <v>0</v>
      </c>
      <c r="E23" s="28" t="s">
        <v>6</v>
      </c>
      <c r="F23" s="51">
        <v>182</v>
      </c>
      <c r="G23" s="52">
        <f t="shared" ref="G23:G28" si="10">F23-82</f>
        <v>100</v>
      </c>
      <c r="H23" s="82">
        <f t="shared" ref="H23:H28" si="11">IF(D23=TRUE,F23,0)</f>
        <v>0</v>
      </c>
      <c r="I23" s="82">
        <f t="shared" ref="I23:I28" si="12">IF(D23=TRUE,G23,0)</f>
        <v>0</v>
      </c>
      <c r="J23" s="22" t="b">
        <f>AND($D$1=2,$D$7=2,'Simulazione 7.2'!$C$3&lt;=3,'Simulazione 7.2'!$C$3&gt;=1)</f>
        <v>0</v>
      </c>
      <c r="K23" s="28" t="s">
        <v>6</v>
      </c>
      <c r="L23" s="51">
        <v>176</v>
      </c>
      <c r="M23" s="52">
        <f t="shared" ref="M23:M28" si="13">L23-82</f>
        <v>94</v>
      </c>
      <c r="N23" s="5">
        <f>IF(J23=TRUE,L23,0)</f>
        <v>0</v>
      </c>
      <c r="O23" s="5">
        <f>IF(J23=TRUE,M23,0)</f>
        <v>0</v>
      </c>
      <c r="P23" s="2" t="b">
        <f>AND($K$1=3,$L$1=3,$M$1&gt;20)</f>
        <v>0</v>
      </c>
      <c r="Q23" s="53">
        <v>5</v>
      </c>
      <c r="R23" s="11">
        <f t="shared" si="9"/>
        <v>0</v>
      </c>
    </row>
    <row r="24" spans="4:21" s="50" customFormat="1" ht="15.75">
      <c r="D24" s="22" t="b">
        <f>AND($D$1=2,$D$7=1,'Simulazione 7.2'!$C$3&lt;=20,'Simulazione 7.2'!$C$3&gt;3)</f>
        <v>0</v>
      </c>
      <c r="E24" s="28" t="s">
        <v>7</v>
      </c>
      <c r="F24" s="51">
        <v>171</v>
      </c>
      <c r="G24" s="52">
        <f t="shared" si="10"/>
        <v>89</v>
      </c>
      <c r="H24" s="82">
        <f t="shared" si="11"/>
        <v>0</v>
      </c>
      <c r="I24" s="82">
        <f t="shared" si="12"/>
        <v>0</v>
      </c>
      <c r="J24" s="22" t="b">
        <f>AND($D$1=2,$D$7=2,'Simulazione 7.2'!$C$3&lt;=20,'Simulazione 7.2'!$C$3&gt;3)</f>
        <v>0</v>
      </c>
      <c r="K24" s="28" t="s">
        <v>7</v>
      </c>
      <c r="L24" s="51">
        <v>165</v>
      </c>
      <c r="M24" s="52">
        <f t="shared" si="13"/>
        <v>83</v>
      </c>
      <c r="N24" s="5">
        <f t="shared" ref="N24:N28" si="14">IF(J24=TRUE,L24,0)</f>
        <v>0</v>
      </c>
      <c r="O24" s="5">
        <f t="shared" ref="O24:O28" si="15">IF(J24=TRUE,M24,0)</f>
        <v>0</v>
      </c>
      <c r="P24" s="2" t="b">
        <f>AND($K$1=3,$L$1=4,$M$1&gt;20)</f>
        <v>0</v>
      </c>
      <c r="Q24" s="53">
        <v>10</v>
      </c>
      <c r="R24" s="11">
        <f t="shared" si="9"/>
        <v>0</v>
      </c>
    </row>
    <row r="25" spans="4:21" s="50" customFormat="1" ht="15.75">
      <c r="D25" s="22" t="b">
        <f>AND($D$1=2,$D$7=1,'Simulazione 7.2'!$C$3&lt;=200,'Simulazione 7.2'!$C$3&gt;20)</f>
        <v>0</v>
      </c>
      <c r="E25" s="28" t="s">
        <v>8</v>
      </c>
      <c r="F25" s="51">
        <v>157</v>
      </c>
      <c r="G25" s="52">
        <f t="shared" si="10"/>
        <v>75</v>
      </c>
      <c r="H25" s="82">
        <f t="shared" si="11"/>
        <v>0</v>
      </c>
      <c r="I25" s="82">
        <f t="shared" si="12"/>
        <v>0</v>
      </c>
      <c r="J25" s="22" t="b">
        <f>AND($D$1=2,$D$7=2,'Simulazione 7.2'!$C$3&lt;=200,'Simulazione 7.2'!$C$3&gt;20)</f>
        <v>0</v>
      </c>
      <c r="K25" s="28" t="s">
        <v>8</v>
      </c>
      <c r="L25" s="51">
        <v>151</v>
      </c>
      <c r="M25" s="52">
        <f t="shared" si="13"/>
        <v>69</v>
      </c>
      <c r="N25" s="5">
        <f t="shared" si="14"/>
        <v>0</v>
      </c>
      <c r="O25" s="5">
        <f t="shared" si="15"/>
        <v>0</v>
      </c>
      <c r="P25" s="11"/>
      <c r="Q25" s="53"/>
      <c r="R25" s="11"/>
    </row>
    <row r="26" spans="4:21" s="46" customFormat="1" ht="22.5" customHeight="1">
      <c r="D26" s="22" t="b">
        <f>AND($D$1=2,$D$7=1,'Simulazione 7.2'!$C$3&lt;=1000,'Simulazione 7.2'!$C$3&gt;200)</f>
        <v>0</v>
      </c>
      <c r="E26" s="28" t="s">
        <v>9</v>
      </c>
      <c r="F26" s="47">
        <v>130</v>
      </c>
      <c r="G26" s="48">
        <f t="shared" si="10"/>
        <v>48</v>
      </c>
      <c r="H26" s="82">
        <f t="shared" si="11"/>
        <v>0</v>
      </c>
      <c r="I26" s="82">
        <f t="shared" si="12"/>
        <v>0</v>
      </c>
      <c r="J26" s="22" t="b">
        <f>AND($D$1=2,$D$7=2,'Simulazione 7.2'!$C$3&lt;=1000,'Simulazione 7.2'!$C$3&gt;200)</f>
        <v>0</v>
      </c>
      <c r="K26" s="28" t="s">
        <v>9</v>
      </c>
      <c r="L26" s="47">
        <v>124</v>
      </c>
      <c r="M26" s="48">
        <f t="shared" si="13"/>
        <v>42</v>
      </c>
      <c r="N26" s="5">
        <f t="shared" si="14"/>
        <v>0</v>
      </c>
      <c r="O26" s="5">
        <f t="shared" si="15"/>
        <v>0</v>
      </c>
      <c r="Q26" s="49"/>
    </row>
    <row r="27" spans="4:21" s="50" customFormat="1" ht="15.75">
      <c r="D27" s="22" t="b">
        <f>AND($D$1=2,$D$7=1,'Simulazione 7.2'!$C$3&lt;=5000,'Simulazione 7.2'!$C$3&gt;1000)</f>
        <v>0</v>
      </c>
      <c r="E27" s="28" t="s">
        <v>10</v>
      </c>
      <c r="F27" s="51">
        <v>118</v>
      </c>
      <c r="G27" s="52">
        <f t="shared" si="10"/>
        <v>36</v>
      </c>
      <c r="H27" s="82">
        <f t="shared" si="11"/>
        <v>0</v>
      </c>
      <c r="I27" s="82">
        <f t="shared" si="12"/>
        <v>0</v>
      </c>
      <c r="J27" s="22" t="b">
        <f>AND($D$1=2,$D$7=2,'Simulazione 7.2'!$C$3&lt;=5000,'Simulazione 7.2'!$C$3&gt;1000)</f>
        <v>0</v>
      </c>
      <c r="K27" s="28" t="s">
        <v>10</v>
      </c>
      <c r="L27" s="51">
        <v>113</v>
      </c>
      <c r="M27" s="52">
        <f t="shared" si="13"/>
        <v>31</v>
      </c>
      <c r="N27" s="5">
        <f t="shared" si="14"/>
        <v>0</v>
      </c>
      <c r="O27" s="5">
        <f t="shared" si="15"/>
        <v>0</v>
      </c>
      <c r="Q27" s="53"/>
      <c r="R27" s="56">
        <f>SUM(R1:R26)</f>
        <v>20</v>
      </c>
    </row>
    <row r="28" spans="4:21" s="50" customFormat="1" ht="16.5" thickBot="1">
      <c r="D28" s="29" t="b">
        <f>AND($D$1=2,$D$7=1,'Simulazione 7.2'!$C$3&gt;=5000)</f>
        <v>0</v>
      </c>
      <c r="E28" s="35" t="s">
        <v>11</v>
      </c>
      <c r="F28" s="57">
        <v>112</v>
      </c>
      <c r="G28" s="58">
        <f t="shared" si="10"/>
        <v>30</v>
      </c>
      <c r="H28" s="82">
        <f t="shared" si="11"/>
        <v>0</v>
      </c>
      <c r="I28" s="82">
        <f t="shared" si="12"/>
        <v>0</v>
      </c>
      <c r="J28" s="29" t="b">
        <f>AND($D$1=2,$D$7=2,'Simulazione 7.2'!$C$3&gt;=5000)</f>
        <v>0</v>
      </c>
      <c r="K28" s="35" t="s">
        <v>11</v>
      </c>
      <c r="L28" s="57">
        <v>106</v>
      </c>
      <c r="M28" s="58">
        <f t="shared" si="13"/>
        <v>24</v>
      </c>
      <c r="N28" s="5">
        <f t="shared" si="14"/>
        <v>0</v>
      </c>
      <c r="O28" s="5">
        <f t="shared" si="15"/>
        <v>0</v>
      </c>
      <c r="Q28" s="53"/>
    </row>
    <row r="29" spans="4:21" s="50" customFormat="1" ht="16.5" thickBot="1">
      <c r="F29" s="53"/>
      <c r="G29" s="53"/>
      <c r="H29" s="42">
        <f>IF($H$9=1,H23+H24+H25+H26+H27+H28,0)</f>
        <v>0</v>
      </c>
      <c r="I29" s="42">
        <f>IF($H$9=1,I23+I24+I25+I26+I27+I28,0)</f>
        <v>0</v>
      </c>
      <c r="K29" s="53"/>
      <c r="L29" s="53"/>
      <c r="M29" s="53"/>
      <c r="N29" s="42">
        <f>IF($H$9=1,N23+N24+N25+N26+N27+N28,0)</f>
        <v>0</v>
      </c>
      <c r="O29" s="42">
        <f>IF($H$9=1,O23+O24+O25+O26+O27+O28,0)</f>
        <v>0</v>
      </c>
      <c r="Q29" s="53"/>
    </row>
    <row r="30" spans="4:21" s="50" customFormat="1" ht="15.75">
      <c r="Q30" s="59" t="s">
        <v>74</v>
      </c>
      <c r="S30" s="50">
        <f t="shared" ref="S30:S39" si="16">IF($R$41=T30,U30,0)</f>
        <v>0</v>
      </c>
      <c r="T30" s="50">
        <v>1</v>
      </c>
      <c r="U30" s="50">
        <v>10</v>
      </c>
    </row>
    <row r="31" spans="4:21" s="50" customFormat="1" ht="16.5" thickBot="1">
      <c r="Q31" s="59" t="s">
        <v>65</v>
      </c>
      <c r="S31" s="50">
        <f t="shared" si="16"/>
        <v>0</v>
      </c>
      <c r="T31" s="50">
        <v>2</v>
      </c>
      <c r="U31" s="50">
        <v>20</v>
      </c>
    </row>
    <row r="32" spans="4:21" s="50" customFormat="1" ht="15.75">
      <c r="D32" s="83"/>
      <c r="E32" s="84"/>
      <c r="F32" s="85" t="s">
        <v>2</v>
      </c>
      <c r="G32" s="86" t="s">
        <v>3</v>
      </c>
      <c r="H32" s="49"/>
      <c r="I32" s="49"/>
      <c r="J32" s="83"/>
      <c r="K32" s="84"/>
      <c r="L32" s="85" t="s">
        <v>2</v>
      </c>
      <c r="M32" s="86" t="s">
        <v>3</v>
      </c>
      <c r="N32" s="47"/>
      <c r="O32" s="47"/>
      <c r="Q32" s="59" t="s">
        <v>66</v>
      </c>
      <c r="S32" s="50">
        <f t="shared" si="16"/>
        <v>0</v>
      </c>
      <c r="T32" s="50">
        <v>3</v>
      </c>
      <c r="U32" s="50">
        <v>30</v>
      </c>
    </row>
    <row r="33" spans="4:21" s="50" customFormat="1" ht="15.75">
      <c r="D33" s="22" t="b">
        <f>AND($D$1=3,$D$7=1,'Simulazione 7.2'!$C$3&lt;=3,'Simulazione 7.2'!$C$3&gt;=1)</f>
        <v>0</v>
      </c>
      <c r="E33" s="28" t="s">
        <v>6</v>
      </c>
      <c r="F33" s="51">
        <v>157</v>
      </c>
      <c r="G33" s="52">
        <f t="shared" ref="G33:G38" si="17">F33-82</f>
        <v>75</v>
      </c>
      <c r="H33" s="82">
        <f t="shared" ref="H33:H38" si="18">IF(D33=TRUE,F33,0)</f>
        <v>0</v>
      </c>
      <c r="I33" s="82">
        <f t="shared" ref="I33:I38" si="19">IF(D33=TRUE,G33,0)</f>
        <v>0</v>
      </c>
      <c r="J33" s="22" t="b">
        <f>AND($D$1=3,$D$7=2,'Simulazione 7.2'!$C$3&lt;=3,'Simulazione 7.2'!$C$3&gt;=1)</f>
        <v>0</v>
      </c>
      <c r="K33" s="28" t="s">
        <v>6</v>
      </c>
      <c r="L33" s="51">
        <v>152</v>
      </c>
      <c r="M33" s="52">
        <f t="shared" ref="M33:M38" si="20">L33-82</f>
        <v>70</v>
      </c>
      <c r="N33" s="5">
        <f>IF(J33=TRUE,L33,0)</f>
        <v>0</v>
      </c>
      <c r="O33" s="5">
        <f>IF(J33=TRUE,M33,0)</f>
        <v>0</v>
      </c>
      <c r="Q33" s="59" t="s">
        <v>67</v>
      </c>
      <c r="S33" s="50">
        <f t="shared" si="16"/>
        <v>0</v>
      </c>
      <c r="T33" s="50">
        <v>4</v>
      </c>
      <c r="U33" s="50">
        <v>40</v>
      </c>
    </row>
    <row r="34" spans="4:21" s="50" customFormat="1" ht="15.75">
      <c r="D34" s="22" t="b">
        <f>AND($D$1=3,$D$7=1,'Simulazione 7.2'!$C$3&lt;=20,'Simulazione 7.2'!$C$3&gt;3)</f>
        <v>0</v>
      </c>
      <c r="E34" s="28" t="s">
        <v>7</v>
      </c>
      <c r="F34" s="51">
        <v>149</v>
      </c>
      <c r="G34" s="52">
        <f t="shared" si="17"/>
        <v>67</v>
      </c>
      <c r="H34" s="82">
        <f t="shared" si="18"/>
        <v>0</v>
      </c>
      <c r="I34" s="82">
        <f t="shared" si="19"/>
        <v>0</v>
      </c>
      <c r="J34" s="22" t="b">
        <f>AND($D$1=3,$D$7=2,'Simulazione 7.2'!$C$3&lt;=20,'Simulazione 7.2'!$C$3&gt;3)</f>
        <v>0</v>
      </c>
      <c r="K34" s="28" t="s">
        <v>7</v>
      </c>
      <c r="L34" s="51">
        <v>144</v>
      </c>
      <c r="M34" s="52">
        <f t="shared" si="20"/>
        <v>62</v>
      </c>
      <c r="N34" s="5">
        <f t="shared" ref="N34:N38" si="21">IF(J34=TRUE,L34,0)</f>
        <v>0</v>
      </c>
      <c r="O34" s="5">
        <f t="shared" ref="O34:O38" si="22">IF(J34=TRUE,M34,0)</f>
        <v>0</v>
      </c>
      <c r="Q34" s="59" t="s">
        <v>68</v>
      </c>
      <c r="S34" s="50">
        <f t="shared" si="16"/>
        <v>50</v>
      </c>
      <c r="T34" s="50">
        <v>5</v>
      </c>
      <c r="U34" s="50">
        <v>50</v>
      </c>
    </row>
    <row r="35" spans="4:21" ht="15.75">
      <c r="D35" s="22" t="b">
        <f>AND($D$1=3,$D$7=1,'Simulazione 7.2'!$C$3&lt;=200,'Simulazione 7.2'!$C$3&gt;20)</f>
        <v>0</v>
      </c>
      <c r="E35" s="28" t="s">
        <v>8</v>
      </c>
      <c r="F35" s="51">
        <v>141</v>
      </c>
      <c r="G35" s="52">
        <f t="shared" si="17"/>
        <v>59</v>
      </c>
      <c r="H35" s="82">
        <f t="shared" si="18"/>
        <v>0</v>
      </c>
      <c r="I35" s="82">
        <f t="shared" si="19"/>
        <v>0</v>
      </c>
      <c r="J35" s="22" t="b">
        <f>AND($D$1=3,$D$7=2,'Simulazione 7.2'!$C$3&lt;=200,'Simulazione 7.2'!$C$3&gt;20)</f>
        <v>0</v>
      </c>
      <c r="K35" s="28" t="s">
        <v>8</v>
      </c>
      <c r="L35" s="51">
        <v>136</v>
      </c>
      <c r="M35" s="52">
        <f t="shared" si="20"/>
        <v>54</v>
      </c>
      <c r="N35" s="5">
        <f t="shared" si="21"/>
        <v>0</v>
      </c>
      <c r="O35" s="5">
        <f t="shared" si="22"/>
        <v>0</v>
      </c>
      <c r="Q35" s="59" t="s">
        <v>69</v>
      </c>
      <c r="S35" s="50">
        <f t="shared" si="16"/>
        <v>0</v>
      </c>
      <c r="T35" s="50">
        <v>6</v>
      </c>
      <c r="U35" s="50">
        <v>60</v>
      </c>
    </row>
    <row r="36" spans="4:21" ht="15.75">
      <c r="D36" s="22" t="b">
        <f>AND($D$1=3,$D$7=1,'Simulazione 7.2'!$C$3&lt;=1000,'Simulazione 7.2'!$C$3&gt;200)</f>
        <v>0</v>
      </c>
      <c r="E36" s="28" t="s">
        <v>9</v>
      </c>
      <c r="F36" s="47">
        <v>118</v>
      </c>
      <c r="G36" s="48">
        <f t="shared" si="17"/>
        <v>36</v>
      </c>
      <c r="H36" s="82">
        <f t="shared" si="18"/>
        <v>0</v>
      </c>
      <c r="I36" s="82">
        <f t="shared" si="19"/>
        <v>0</v>
      </c>
      <c r="J36" s="22" t="b">
        <f>AND($D$1=3,$D$7=2,'Simulazione 7.2'!$C$3&lt;=1000,'Simulazione 7.2'!$C$3&gt;200)</f>
        <v>0</v>
      </c>
      <c r="K36" s="28" t="s">
        <v>9</v>
      </c>
      <c r="L36" s="47">
        <v>113</v>
      </c>
      <c r="M36" s="48">
        <f t="shared" si="20"/>
        <v>31</v>
      </c>
      <c r="N36" s="5">
        <f t="shared" si="21"/>
        <v>0</v>
      </c>
      <c r="O36" s="5">
        <f t="shared" si="22"/>
        <v>0</v>
      </c>
      <c r="Q36" s="59" t="s">
        <v>70</v>
      </c>
      <c r="S36" s="50">
        <f t="shared" si="16"/>
        <v>0</v>
      </c>
      <c r="T36" s="50">
        <v>7</v>
      </c>
      <c r="U36" s="50">
        <v>70</v>
      </c>
    </row>
    <row r="37" spans="4:21" ht="15.75">
      <c r="D37" s="22" t="b">
        <f>AND($D$1=3,$D$7=1,'Simulazione 7.2'!$C$3&lt;=5000,'Simulazione 7.2'!$C$3&gt;1000)</f>
        <v>0</v>
      </c>
      <c r="E37" s="28" t="s">
        <v>10</v>
      </c>
      <c r="F37" s="51">
        <v>110</v>
      </c>
      <c r="G37" s="52">
        <f t="shared" si="17"/>
        <v>28</v>
      </c>
      <c r="H37" s="82">
        <f t="shared" si="18"/>
        <v>0</v>
      </c>
      <c r="I37" s="82">
        <f t="shared" si="19"/>
        <v>0</v>
      </c>
      <c r="J37" s="22" t="b">
        <f>AND($D$1=3,$D$7=2,'Simulazione 7.2'!$C$3&lt;=5000,'Simulazione 7.2'!$C$3&gt;1000)</f>
        <v>0</v>
      </c>
      <c r="K37" s="28" t="s">
        <v>10</v>
      </c>
      <c r="L37" s="51">
        <v>106</v>
      </c>
      <c r="M37" s="52">
        <f t="shared" si="20"/>
        <v>24</v>
      </c>
      <c r="N37" s="5">
        <f t="shared" si="21"/>
        <v>0</v>
      </c>
      <c r="O37" s="5">
        <f t="shared" si="22"/>
        <v>0</v>
      </c>
      <c r="Q37" s="59" t="s">
        <v>71</v>
      </c>
      <c r="S37" s="50">
        <f t="shared" si="16"/>
        <v>0</v>
      </c>
      <c r="T37" s="50">
        <v>8</v>
      </c>
      <c r="U37" s="50">
        <v>80</v>
      </c>
    </row>
    <row r="38" spans="4:21" ht="16.5" thickBot="1">
      <c r="D38" s="29" t="b">
        <f>AND($D$1=3,$D$7=1,'Simulazione 7.2'!$C$3&gt;=5000)</f>
        <v>0</v>
      </c>
      <c r="E38" s="35" t="s">
        <v>11</v>
      </c>
      <c r="F38" s="57">
        <v>104</v>
      </c>
      <c r="G38" s="58">
        <f t="shared" si="17"/>
        <v>22</v>
      </c>
      <c r="H38" s="82">
        <f t="shared" si="18"/>
        <v>0</v>
      </c>
      <c r="I38" s="82">
        <f t="shared" si="19"/>
        <v>0</v>
      </c>
      <c r="J38" s="29" t="b">
        <f>AND($D$1=3,$D$7=2,'Simulazione 7.2'!$C$3&gt;=5000)</f>
        <v>0</v>
      </c>
      <c r="K38" s="35" t="s">
        <v>11</v>
      </c>
      <c r="L38" s="57">
        <v>99</v>
      </c>
      <c r="M38" s="58">
        <f t="shared" si="20"/>
        <v>17</v>
      </c>
      <c r="N38" s="5">
        <f t="shared" si="21"/>
        <v>0</v>
      </c>
      <c r="O38" s="5">
        <f t="shared" si="22"/>
        <v>0</v>
      </c>
      <c r="Q38" s="59" t="s">
        <v>72</v>
      </c>
      <c r="S38" s="50">
        <f t="shared" si="16"/>
        <v>0</v>
      </c>
      <c r="T38" s="50">
        <v>9</v>
      </c>
      <c r="U38" s="50">
        <v>90</v>
      </c>
    </row>
    <row r="39" spans="4:21" ht="16.5" thickBot="1">
      <c r="D39" s="50"/>
      <c r="E39" s="50"/>
      <c r="F39" s="53"/>
      <c r="G39" s="53"/>
      <c r="H39" s="42">
        <f>IF($H$9=1,H33+H34+H35+H36+H37+H38,0)</f>
        <v>0</v>
      </c>
      <c r="I39" s="42">
        <f>IF($H$9=1,I33+I34+I35+I36+I37+I38,0)</f>
        <v>0</v>
      </c>
      <c r="J39" s="50"/>
      <c r="K39" s="53"/>
      <c r="L39" s="53"/>
      <c r="M39" s="53"/>
      <c r="N39" s="42">
        <f>IF($H$9=1,N33+N34+N35+N36+N37+N38,0)</f>
        <v>0</v>
      </c>
      <c r="O39" s="42">
        <f>IF($H$9=1,O33+O34+O35+O36+O37+O38,0)</f>
        <v>0</v>
      </c>
      <c r="Q39" s="59" t="s">
        <v>73</v>
      </c>
      <c r="S39" s="50">
        <f t="shared" si="16"/>
        <v>0</v>
      </c>
      <c r="T39" s="50">
        <v>10</v>
      </c>
      <c r="U39" s="50">
        <v>100</v>
      </c>
    </row>
    <row r="40" spans="4:21" ht="15.75">
      <c r="D40" s="2"/>
      <c r="E40" s="2"/>
      <c r="F40" s="5"/>
      <c r="G40" s="5"/>
      <c r="H40" s="5"/>
      <c r="I40" s="5"/>
      <c r="J40" s="2"/>
      <c r="K40" s="5"/>
      <c r="L40" s="5"/>
      <c r="M40" s="5"/>
      <c r="N40" s="5"/>
      <c r="O40" s="5"/>
      <c r="Q40" s="59"/>
      <c r="S40" s="50"/>
    </row>
    <row r="41" spans="4:21" ht="15.75">
      <c r="Q41" s="59"/>
      <c r="R41" s="6">
        <v>5</v>
      </c>
      <c r="S41" s="87">
        <f>SUM(S30:S39)</f>
        <v>50</v>
      </c>
    </row>
    <row r="42" spans="4:21" ht="15.75">
      <c r="Q42" s="59"/>
      <c r="S42" s="50"/>
    </row>
    <row r="43" spans="4:21" ht="16.5" thickBot="1">
      <c r="Q43" s="59"/>
      <c r="S43" s="50"/>
    </row>
    <row r="44" spans="4:21" ht="15.75">
      <c r="D44" s="83"/>
      <c r="E44" s="84"/>
      <c r="F44" s="85" t="s">
        <v>2</v>
      </c>
      <c r="G44" s="86" t="s">
        <v>3</v>
      </c>
      <c r="H44" s="49"/>
      <c r="I44" s="49"/>
      <c r="J44" s="83"/>
      <c r="K44" s="84"/>
      <c r="L44" s="85" t="s">
        <v>2</v>
      </c>
      <c r="M44" s="86" t="s">
        <v>3</v>
      </c>
      <c r="N44" s="47"/>
      <c r="O44" s="47"/>
      <c r="P44" s="82"/>
      <c r="Q44" s="59"/>
      <c r="S44" s="50"/>
    </row>
    <row r="45" spans="4:21" ht="15.75">
      <c r="D45" s="22" t="b">
        <f>AND($D$1=4,$D$7=1,'Simulazione 7.2'!$C$3&lt;=3,'Simulazione 7.2'!$C$3&gt;=1)</f>
        <v>0</v>
      </c>
      <c r="E45" s="28" t="s">
        <v>6</v>
      </c>
      <c r="F45" s="51">
        <v>144</v>
      </c>
      <c r="G45" s="52">
        <f t="shared" ref="G45:G50" si="23">F45-82</f>
        <v>62</v>
      </c>
      <c r="H45" s="82">
        <f t="shared" ref="H45:H50" si="24">IF(D45=TRUE,F45,0)</f>
        <v>0</v>
      </c>
      <c r="I45" s="82">
        <f t="shared" ref="I45:I50" si="25">IF(D45=TRUE,G45,0)</f>
        <v>0</v>
      </c>
      <c r="J45" s="22" t="b">
        <f>AND($D$1=4,$D$7=2,'Simulazione 7.2'!$C$3&lt;=3,'Simulazione 7.2'!$C$3&gt;=1)</f>
        <v>0</v>
      </c>
      <c r="K45" s="28" t="s">
        <v>6</v>
      </c>
      <c r="L45" s="51">
        <v>140</v>
      </c>
      <c r="M45" s="52">
        <f t="shared" ref="M45:M50" si="26">L45-82</f>
        <v>58</v>
      </c>
      <c r="N45" s="5">
        <f>IF(J45=TRUE,L45,0)</f>
        <v>0</v>
      </c>
      <c r="O45" s="5">
        <f>IF(J45=TRUE,M45,0)</f>
        <v>0</v>
      </c>
      <c r="P45" s="82"/>
      <c r="Q45" s="59"/>
      <c r="S45" s="50"/>
    </row>
    <row r="46" spans="4:21" ht="15.75">
      <c r="D46" s="22" t="b">
        <f>AND($D$1=4,$D$7=1,'Simulazione 7.2'!$C$3&lt;=20,'Simulazione 7.2'!$C$3&gt;3)</f>
        <v>0</v>
      </c>
      <c r="E46" s="28" t="s">
        <v>7</v>
      </c>
      <c r="F46" s="51">
        <v>137</v>
      </c>
      <c r="G46" s="52">
        <f t="shared" si="23"/>
        <v>55</v>
      </c>
      <c r="H46" s="82">
        <f t="shared" si="24"/>
        <v>0</v>
      </c>
      <c r="I46" s="82">
        <f t="shared" si="25"/>
        <v>0</v>
      </c>
      <c r="J46" s="22" t="b">
        <f>AND($D$1=4,$D$7=2,'Simulazione 7.2'!$C$3&lt;=20,'Simulazione 7.2'!$C$3&gt;3)</f>
        <v>0</v>
      </c>
      <c r="K46" s="28" t="s">
        <v>7</v>
      </c>
      <c r="L46" s="51">
        <v>133</v>
      </c>
      <c r="M46" s="52">
        <f t="shared" si="26"/>
        <v>51</v>
      </c>
      <c r="N46" s="5">
        <f t="shared" ref="N46:N50" si="27">IF(J46=TRUE,L46,0)</f>
        <v>0</v>
      </c>
      <c r="O46" s="5">
        <f t="shared" ref="O46:O50" si="28">IF(J46=TRUE,M46,0)</f>
        <v>0</v>
      </c>
      <c r="Q46" s="59" t="s">
        <v>28</v>
      </c>
      <c r="S46" s="50"/>
    </row>
    <row r="47" spans="4:21" ht="15.75">
      <c r="D47" s="22" t="b">
        <f>AND($D$1=4,$D$7=1,'Simulazione 7.2'!$C$3&lt;=200,'Simulazione 7.2'!$C$3&gt;20)</f>
        <v>0</v>
      </c>
      <c r="E47" s="28" t="s">
        <v>8</v>
      </c>
      <c r="F47" s="51">
        <v>131</v>
      </c>
      <c r="G47" s="52">
        <f t="shared" si="23"/>
        <v>49</v>
      </c>
      <c r="H47" s="82">
        <f t="shared" si="24"/>
        <v>0</v>
      </c>
      <c r="I47" s="82">
        <f t="shared" si="25"/>
        <v>0</v>
      </c>
      <c r="J47" s="22" t="b">
        <f>AND($D$1=4,$D$7=2,'Simulazione 7.2'!$C$3&lt;=200,'Simulazione 7.2'!$C$3&gt;20)</f>
        <v>0</v>
      </c>
      <c r="K47" s="28" t="s">
        <v>8</v>
      </c>
      <c r="L47" s="51">
        <v>126</v>
      </c>
      <c r="M47" s="52">
        <f t="shared" si="26"/>
        <v>44</v>
      </c>
      <c r="N47" s="5">
        <f t="shared" si="27"/>
        <v>0</v>
      </c>
      <c r="O47" s="5">
        <f t="shared" si="28"/>
        <v>0</v>
      </c>
      <c r="Q47" s="59" t="s">
        <v>76</v>
      </c>
      <c r="S47" s="50"/>
    </row>
    <row r="48" spans="4:21" ht="15.75">
      <c r="D48" s="22" t="b">
        <f>AND($D$1=4,$D$7=1,'Simulazione 7.2'!$C$3&lt;=1000,'Simulazione 7.2'!$C$3&gt;200)</f>
        <v>0</v>
      </c>
      <c r="E48" s="28" t="s">
        <v>9</v>
      </c>
      <c r="F48" s="47">
        <v>111</v>
      </c>
      <c r="G48" s="48">
        <f t="shared" si="23"/>
        <v>29</v>
      </c>
      <c r="H48" s="82">
        <f t="shared" si="24"/>
        <v>0</v>
      </c>
      <c r="I48" s="82">
        <f t="shared" si="25"/>
        <v>0</v>
      </c>
      <c r="J48" s="22" t="b">
        <f>AND($D$1=4,$D$7=2,'Simulazione 7.2'!$C$3&lt;=1000,'Simulazione 7.2'!$C$3&gt;200)</f>
        <v>0</v>
      </c>
      <c r="K48" s="28" t="s">
        <v>9</v>
      </c>
      <c r="L48" s="47">
        <v>107</v>
      </c>
      <c r="M48" s="48">
        <f t="shared" si="26"/>
        <v>25</v>
      </c>
      <c r="N48" s="5">
        <f t="shared" si="27"/>
        <v>0</v>
      </c>
      <c r="O48" s="5">
        <f t="shared" si="28"/>
        <v>0</v>
      </c>
      <c r="Q48" s="59"/>
      <c r="S48" s="50"/>
    </row>
    <row r="49" spans="4:19" ht="15.75">
      <c r="D49" s="22" t="b">
        <f>AND($D$1=4,$D$7=1,'Simulazione 7.2'!$C$3&lt;=5000,'Simulazione 7.2'!$C$3&gt;1000)</f>
        <v>0</v>
      </c>
      <c r="E49" s="28" t="s">
        <v>10</v>
      </c>
      <c r="F49" s="51">
        <v>105</v>
      </c>
      <c r="G49" s="52">
        <f t="shared" si="23"/>
        <v>23</v>
      </c>
      <c r="H49" s="82">
        <f t="shared" si="24"/>
        <v>0</v>
      </c>
      <c r="I49" s="82">
        <f t="shared" si="25"/>
        <v>0</v>
      </c>
      <c r="J49" s="22" t="b">
        <f>AND($D$1=4,$D$7=2,'Simulazione 7.2'!$C$3&lt;=5000,'Simulazione 7.2'!$C$3&gt;1000)</f>
        <v>0</v>
      </c>
      <c r="K49" s="28" t="s">
        <v>10</v>
      </c>
      <c r="L49" s="51">
        <v>101</v>
      </c>
      <c r="M49" s="52">
        <f t="shared" si="26"/>
        <v>19</v>
      </c>
      <c r="N49" s="5">
        <f t="shared" si="27"/>
        <v>0</v>
      </c>
      <c r="O49" s="5">
        <f t="shared" si="28"/>
        <v>0</v>
      </c>
      <c r="Q49" s="59">
        <v>1</v>
      </c>
      <c r="S49" s="50"/>
    </row>
    <row r="50" spans="4:19" ht="16.5" thickBot="1">
      <c r="D50" s="29" t="b">
        <f>AND($D$1=4,$D$7=1,'Simulazione 7.2'!$C$3&gt;=5000)</f>
        <v>0</v>
      </c>
      <c r="E50" s="35" t="s">
        <v>11</v>
      </c>
      <c r="F50" s="57">
        <v>99</v>
      </c>
      <c r="G50" s="58">
        <f t="shared" si="23"/>
        <v>17</v>
      </c>
      <c r="H50" s="82">
        <f t="shared" si="24"/>
        <v>0</v>
      </c>
      <c r="I50" s="82">
        <f t="shared" si="25"/>
        <v>0</v>
      </c>
      <c r="J50" s="29" t="b">
        <f>AND($D$1=4,$D$7=2,'Simulazione 7.2'!$C$3&gt;=5000)</f>
        <v>0</v>
      </c>
      <c r="K50" s="35" t="s">
        <v>11</v>
      </c>
      <c r="L50" s="57">
        <v>95</v>
      </c>
      <c r="M50" s="58">
        <f t="shared" si="26"/>
        <v>13</v>
      </c>
      <c r="N50" s="5">
        <f t="shared" si="27"/>
        <v>0</v>
      </c>
      <c r="O50" s="5">
        <f t="shared" si="28"/>
        <v>0</v>
      </c>
    </row>
    <row r="51" spans="4:19" ht="16.5" thickBot="1">
      <c r="D51" s="50"/>
      <c r="E51" s="50"/>
      <c r="F51" s="53"/>
      <c r="G51" s="53"/>
      <c r="H51" s="42">
        <f>IF($H$9=1,H45+H46+H47+H48+H49+H50,0)</f>
        <v>0</v>
      </c>
      <c r="I51" s="42">
        <f>IF($H$9=1,I45+I46+I47+I48+I49+I50,0)</f>
        <v>0</v>
      </c>
      <c r="J51" s="50"/>
      <c r="K51" s="53"/>
      <c r="L51" s="53"/>
      <c r="M51" s="53"/>
      <c r="N51" s="42">
        <f>IF($H$9=1,N45+N46+N47+N48+N49+N50,0)</f>
        <v>0</v>
      </c>
      <c r="O51" s="42">
        <f>IF($H$9=1,O45+O46+O47+O48+O49+O50,0)</f>
        <v>0</v>
      </c>
      <c r="P51" s="21"/>
      <c r="Q51" s="21" t="s">
        <v>28</v>
      </c>
      <c r="R51" s="21"/>
    </row>
    <row r="52" spans="4:19">
      <c r="D52" s="2"/>
      <c r="E52" s="28"/>
      <c r="F52" s="5"/>
      <c r="G52" s="5"/>
      <c r="H52" s="5"/>
      <c r="I52" s="5"/>
      <c r="J52" s="2"/>
      <c r="K52" s="28"/>
      <c r="L52" s="5"/>
      <c r="M52" s="5"/>
      <c r="N52" s="5"/>
      <c r="O52" s="5"/>
      <c r="Q52" s="91" t="b">
        <f>AND(Q49=1,'Simulazione 7.2'!C31&lt;'Simulazione 7.2'!C30)</f>
        <v>1</v>
      </c>
      <c r="S52" s="6">
        <f>IF(Q52=TRUE,'Simulazione 7.2'!$C$31/100*Calcoli!$S$41,0)</f>
        <v>1250</v>
      </c>
    </row>
    <row r="53" spans="4:19">
      <c r="D53" s="2"/>
      <c r="E53" s="28"/>
      <c r="F53" s="5"/>
      <c r="G53" s="5"/>
      <c r="H53" s="5"/>
      <c r="I53" s="5"/>
      <c r="J53" s="2"/>
      <c r="K53" s="28"/>
      <c r="L53" s="5"/>
      <c r="M53" s="5"/>
      <c r="N53" s="5"/>
      <c r="O53" s="5"/>
      <c r="Q53" s="91" t="b">
        <f>AND(Q49=1,'Simulazione 7.2'!C31&gt;='Simulazione 7.2'!C30)</f>
        <v>0</v>
      </c>
      <c r="S53" s="6">
        <f>IF(Q53=TRUE,'Simulazione 7.2'!$C$30/100*Calcoli!$S$41,0)</f>
        <v>0</v>
      </c>
    </row>
    <row r="54" spans="4:19">
      <c r="D54" s="2"/>
      <c r="E54" s="2"/>
      <c r="F54" s="5"/>
      <c r="G54" s="5"/>
      <c r="H54" s="5"/>
      <c r="I54" s="5"/>
      <c r="J54" s="2"/>
      <c r="K54" s="5"/>
      <c r="L54" s="5"/>
      <c r="M54" s="5"/>
      <c r="N54" s="5"/>
      <c r="O54" s="5"/>
    </row>
    <row r="55" spans="4:19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S55" s="6">
        <f>SUM(S52:S54)</f>
        <v>1250</v>
      </c>
    </row>
    <row r="57" spans="4:19" ht="15.75" thickBot="1">
      <c r="Q57" s="82" t="b">
        <f>AND($Q$49=1,$D$1=6)</f>
        <v>0</v>
      </c>
    </row>
    <row r="58" spans="4:19" ht="15.75">
      <c r="D58" s="83"/>
      <c r="E58" s="84"/>
      <c r="F58" s="85" t="s">
        <v>2</v>
      </c>
      <c r="G58" s="86" t="s">
        <v>3</v>
      </c>
      <c r="H58" s="49"/>
      <c r="I58" s="49"/>
      <c r="J58" s="83"/>
      <c r="K58" s="84"/>
      <c r="L58" s="85" t="s">
        <v>2</v>
      </c>
      <c r="M58" s="86" t="s">
        <v>3</v>
      </c>
      <c r="N58" s="47"/>
      <c r="O58" s="47"/>
      <c r="P58" s="82"/>
    </row>
    <row r="59" spans="4:19" ht="15.75">
      <c r="D59" s="22" t="b">
        <f>AND($D$1=5,$D$7=1,'Simulazione 7.2'!$C$3&lt;=3,'Simulazione 7.2'!$C$3&gt;=1)</f>
        <v>0</v>
      </c>
      <c r="E59" s="28" t="s">
        <v>6</v>
      </c>
      <c r="F59" s="51">
        <v>133</v>
      </c>
      <c r="G59" s="52">
        <f t="shared" ref="G59:G64" si="29">F59-82</f>
        <v>51</v>
      </c>
      <c r="H59" s="53">
        <f t="shared" ref="H59:H64" si="30">IF(D59=TRUE,F59,0)</f>
        <v>0</v>
      </c>
      <c r="I59" s="82">
        <f t="shared" ref="I59:I64" si="31">IF(D59=TRUE,G59,0)</f>
        <v>0</v>
      </c>
      <c r="J59" s="22" t="b">
        <f>AND($D$1=5,$D$7=2,'Simulazione 7.2'!$C$3&lt;=3,'Simulazione 7.2'!$C$3&gt;=1)</f>
        <v>0</v>
      </c>
      <c r="K59" s="28" t="s">
        <v>6</v>
      </c>
      <c r="L59" s="51">
        <v>130</v>
      </c>
      <c r="M59" s="52">
        <f t="shared" ref="M59:M64" si="32">L59-82</f>
        <v>48</v>
      </c>
      <c r="N59" s="5">
        <f>IF(J59=TRUE,L59,0)</f>
        <v>0</v>
      </c>
      <c r="O59" s="5">
        <f>IF(J59=TRUE,M59,0)</f>
        <v>0</v>
      </c>
      <c r="P59" s="82"/>
    </row>
    <row r="60" spans="4:19" ht="15.75">
      <c r="D60" s="22" t="b">
        <f>AND($D$1=5,$D$7=1,'Simulazione 7.2'!$C$3&lt;=20,'Simulazione 7.2'!$C$3&gt;3)</f>
        <v>0</v>
      </c>
      <c r="E60" s="28" t="s">
        <v>7</v>
      </c>
      <c r="F60" s="51">
        <v>128</v>
      </c>
      <c r="G60" s="52">
        <f t="shared" si="29"/>
        <v>46</v>
      </c>
      <c r="H60" s="53">
        <f t="shared" si="30"/>
        <v>0</v>
      </c>
      <c r="I60" s="82">
        <f t="shared" si="31"/>
        <v>0</v>
      </c>
      <c r="J60" s="22" t="b">
        <f>AND($D$1=5,$D$7=2,'Simulazione 7.2'!$C$3&lt;=20,'Simulazione 7.2'!$C$3&gt;3)</f>
        <v>0</v>
      </c>
      <c r="K60" s="28" t="s">
        <v>7</v>
      </c>
      <c r="L60" s="51">
        <v>124</v>
      </c>
      <c r="M60" s="52">
        <f t="shared" si="32"/>
        <v>42</v>
      </c>
      <c r="N60" s="5">
        <f t="shared" ref="N60:N64" si="33">IF(J60=TRUE,L60,0)</f>
        <v>0</v>
      </c>
      <c r="O60" s="5">
        <f t="shared" ref="O60:O64" si="34">IF(J60=TRUE,M60,0)</f>
        <v>0</v>
      </c>
    </row>
    <row r="61" spans="4:19" ht="15.75">
      <c r="D61" s="22" t="b">
        <f>AND($D$1=5,$D$7=1,'Simulazione 7.2'!$C$3&lt;=200,'Simulazione 7.2'!$C$3&gt;20)</f>
        <v>0</v>
      </c>
      <c r="E61" s="28" t="s">
        <v>8</v>
      </c>
      <c r="F61" s="51">
        <v>122</v>
      </c>
      <c r="G61" s="52">
        <f t="shared" si="29"/>
        <v>40</v>
      </c>
      <c r="H61" s="53">
        <f t="shared" si="30"/>
        <v>0</v>
      </c>
      <c r="I61" s="82">
        <f t="shared" si="31"/>
        <v>0</v>
      </c>
      <c r="J61" s="22" t="b">
        <f>AND($D$1=5,$D$7=2,'Simulazione 7.2'!$C$3&lt;=200,'Simulazione 7.2'!$C$3&gt;20)</f>
        <v>0</v>
      </c>
      <c r="K61" s="28" t="s">
        <v>8</v>
      </c>
      <c r="L61" s="51">
        <v>118</v>
      </c>
      <c r="M61" s="52">
        <f t="shared" si="32"/>
        <v>36</v>
      </c>
      <c r="N61" s="5">
        <f t="shared" si="33"/>
        <v>0</v>
      </c>
      <c r="O61" s="5">
        <f t="shared" si="34"/>
        <v>0</v>
      </c>
    </row>
    <row r="62" spans="4:19" ht="15.75">
      <c r="D62" s="22" t="b">
        <f>AND($D$1=5,$D$7=1,'Simulazione 7.2'!$C$3&lt;=1000,'Simulazione 7.2'!$C$3&gt;200)</f>
        <v>0</v>
      </c>
      <c r="E62" s="28" t="s">
        <v>9</v>
      </c>
      <c r="F62" s="47">
        <v>106</v>
      </c>
      <c r="G62" s="48">
        <f t="shared" si="29"/>
        <v>24</v>
      </c>
      <c r="H62" s="49">
        <f t="shared" si="30"/>
        <v>0</v>
      </c>
      <c r="I62" s="82">
        <f t="shared" si="31"/>
        <v>0</v>
      </c>
      <c r="J62" s="22" t="b">
        <f>AND($D$1=5,$D$7=2,'Simulazione 7.2'!$C$3&lt;=1000,'Simulazione 7.2'!$C$3&gt;200)</f>
        <v>0</v>
      </c>
      <c r="K62" s="28" t="s">
        <v>9</v>
      </c>
      <c r="L62" s="47">
        <v>102</v>
      </c>
      <c r="M62" s="48">
        <f t="shared" si="32"/>
        <v>20</v>
      </c>
      <c r="N62" s="5">
        <f t="shared" si="33"/>
        <v>0</v>
      </c>
      <c r="O62" s="5">
        <f t="shared" si="34"/>
        <v>0</v>
      </c>
    </row>
    <row r="63" spans="4:19" ht="15.75">
      <c r="D63" s="22" t="b">
        <f>AND($D$1=5,$D$7=1,'Simulazione 7.2'!$C$3&lt;=5000,'Simulazione 7.2'!$C$3&gt;1000)</f>
        <v>0</v>
      </c>
      <c r="E63" s="28" t="s">
        <v>10</v>
      </c>
      <c r="F63" s="51">
        <v>100</v>
      </c>
      <c r="G63" s="52">
        <f t="shared" si="29"/>
        <v>18</v>
      </c>
      <c r="H63" s="53">
        <f t="shared" si="30"/>
        <v>0</v>
      </c>
      <c r="I63" s="82">
        <f t="shared" si="31"/>
        <v>0</v>
      </c>
      <c r="J63" s="22" t="b">
        <f>AND($D$1=5,$D$7=2,'Simulazione 7.2'!$C$3&lt;=5000,'Simulazione 7.2'!$C$3&gt;1000)</f>
        <v>0</v>
      </c>
      <c r="K63" s="28" t="s">
        <v>10</v>
      </c>
      <c r="L63" s="51">
        <v>97</v>
      </c>
      <c r="M63" s="52">
        <f t="shared" si="32"/>
        <v>15</v>
      </c>
      <c r="N63" s="5">
        <f t="shared" si="33"/>
        <v>0</v>
      </c>
      <c r="O63" s="5">
        <f t="shared" si="34"/>
        <v>0</v>
      </c>
    </row>
    <row r="64" spans="4:19" ht="16.5" thickBot="1">
      <c r="D64" s="29" t="b">
        <f>AND($D$1=5,$D$7=1,'Simulazione 7.2'!$C$3&gt;=5000)</f>
        <v>0</v>
      </c>
      <c r="E64" s="35" t="s">
        <v>11</v>
      </c>
      <c r="F64" s="57">
        <v>95</v>
      </c>
      <c r="G64" s="58">
        <f t="shared" si="29"/>
        <v>13</v>
      </c>
      <c r="H64" s="53">
        <f t="shared" si="30"/>
        <v>0</v>
      </c>
      <c r="I64" s="82">
        <f t="shared" si="31"/>
        <v>0</v>
      </c>
      <c r="J64" s="29" t="b">
        <f>AND($D$1=5,$D$7=2,'Simulazione 7.2'!$C$3&gt;=5000)</f>
        <v>0</v>
      </c>
      <c r="K64" s="35" t="s">
        <v>11</v>
      </c>
      <c r="L64" s="57">
        <v>92</v>
      </c>
      <c r="M64" s="58">
        <f t="shared" si="32"/>
        <v>10</v>
      </c>
      <c r="N64" s="5">
        <f t="shared" si="33"/>
        <v>0</v>
      </c>
      <c r="O64" s="5">
        <f t="shared" si="34"/>
        <v>0</v>
      </c>
    </row>
    <row r="65" spans="3:28" ht="16.5" thickBot="1">
      <c r="D65" s="50"/>
      <c r="E65" s="50"/>
      <c r="F65" s="53"/>
      <c r="G65" s="53"/>
      <c r="H65" s="42">
        <f>IF($H$9=1,H59+H60+H61+H62+H63+H64,0)</f>
        <v>0</v>
      </c>
      <c r="I65" s="42">
        <f>IF($H$9=1,I59+I60+I61+I62+I63+I64,0)</f>
        <v>0</v>
      </c>
      <c r="J65" s="53"/>
      <c r="K65" s="53"/>
      <c r="L65" s="53"/>
      <c r="M65" s="53"/>
      <c r="N65" s="42">
        <f>IF($H$9=1,N59+N60+N61+N62+N63+N64,0)</f>
        <v>0</v>
      </c>
      <c r="O65" s="42">
        <f>IF($H$9=1,O59+O60+O61+O62+O63+O64,0)</f>
        <v>0</v>
      </c>
    </row>
    <row r="66" spans="3:28"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5"/>
      <c r="R66" s="2"/>
    </row>
    <row r="67" spans="3:28">
      <c r="D67" s="99">
        <f>IF($D$76&gt;1,'Simulazione 7.2'!E70+'Simulazione 7.2'!E71+'Simulazione 7.2'!E72+'Simulazione 7.2'!E74+'Simulazione 7.2'!E75-'Simulazione 7.2'!E78-'Simulazione 7.2'!E84-'Simulazione 7.2'!E86-'Simulazione 7.2'!E87,0)</f>
        <v>0</v>
      </c>
      <c r="E67" s="99">
        <f>IF($D$76&gt;1,'Simulazione 7.2'!F70+'Simulazione 7.2'!F71+'Simulazione 7.2'!F72+'Simulazione 7.2'!F74+'Simulazione 7.2'!F75-'Simulazione 7.2'!F78-'Simulazione 7.2'!F84-'Simulazione 7.2'!F86-'Simulazione 7.2'!F87,0)</f>
        <v>0</v>
      </c>
      <c r="F67" s="99">
        <f>IF($D$76&gt;1,'Simulazione 7.2'!G70+'Simulazione 7.2'!G71+'Simulazione 7.2'!G72+'Simulazione 7.2'!G74+'Simulazione 7.2'!G75-'Simulazione 7.2'!G78-'Simulazione 7.2'!G84-'Simulazione 7.2'!G86-'Simulazione 7.2'!G87,0)</f>
        <v>0</v>
      </c>
      <c r="G67" s="99">
        <f>IF($D$76&gt;1,'Simulazione 7.2'!H70+'Simulazione 7.2'!H71+'Simulazione 7.2'!H72+'Simulazione 7.2'!H74+'Simulazione 7.2'!H75-'Simulazione 7.2'!H78-'Simulazione 7.2'!H84-'Simulazione 7.2'!H86-'Simulazione 7.2'!H87,0)</f>
        <v>0</v>
      </c>
      <c r="H67" s="99">
        <f>IF($D$76&gt;1,'Simulazione 7.2'!I70+'Simulazione 7.2'!I71+'Simulazione 7.2'!I72+'Simulazione 7.2'!I74+'Simulazione 7.2'!I75-'Simulazione 7.2'!I78-'Simulazione 7.2'!I84-'Simulazione 7.2'!I86-'Simulazione 7.2'!I87,0)</f>
        <v>0</v>
      </c>
      <c r="I67" s="99">
        <f>IF($D$76&gt;1,'Simulazione 7.2'!J70+'Simulazione 7.2'!J71+'Simulazione 7.2'!J72+'Simulazione 7.2'!J74+'Simulazione 7.2'!J75-'Simulazione 7.2'!J78-'Simulazione 7.2'!J84-'Simulazione 7.2'!J86-'Simulazione 7.2'!J87,0)</f>
        <v>0</v>
      </c>
      <c r="J67" s="99">
        <f>IF($D$76&gt;1,'Simulazione 7.2'!K70+'Simulazione 7.2'!K71+'Simulazione 7.2'!K72+'Simulazione 7.2'!K74+'Simulazione 7.2'!K75-'Simulazione 7.2'!K78-'Simulazione 7.2'!K84-'Simulazione 7.2'!K86-'Simulazione 7.2'!K87,0)</f>
        <v>0</v>
      </c>
      <c r="K67" s="99">
        <f>IF($D$76&gt;1,'Simulazione 7.2'!L70+'Simulazione 7.2'!L71+'Simulazione 7.2'!L72+'Simulazione 7.2'!L74+'Simulazione 7.2'!L75-'Simulazione 7.2'!L78-'Simulazione 7.2'!L84-'Simulazione 7.2'!L86-'Simulazione 7.2'!L87,0)</f>
        <v>0</v>
      </c>
      <c r="L67" s="99">
        <f>IF($D$76&gt;1,'Simulazione 7.2'!M70+'Simulazione 7.2'!M71+'Simulazione 7.2'!M72+'Simulazione 7.2'!M74+'Simulazione 7.2'!M75-'Simulazione 7.2'!M78-'Simulazione 7.2'!M84-'Simulazione 7.2'!M86-'Simulazione 7.2'!M87,0)</f>
        <v>0</v>
      </c>
      <c r="M67" s="99">
        <f>IF($D$76&gt;1,'Simulazione 7.2'!N70+'Simulazione 7.2'!N71+'Simulazione 7.2'!N72+'Simulazione 7.2'!N74+'Simulazione 7.2'!N75-'Simulazione 7.2'!N78-'Simulazione 7.2'!N84-'Simulazione 7.2'!N86-'Simulazione 7.2'!N87,0)</f>
        <v>0</v>
      </c>
      <c r="N67" s="99">
        <f>IF($D$76&gt;1,'Simulazione 7.2'!O70+'Simulazione 7.2'!O71+'Simulazione 7.2'!O72+'Simulazione 7.2'!O74+'Simulazione 7.2'!O75-'Simulazione 7.2'!O78-'Simulazione 7.2'!O84-'Simulazione 7.2'!O86-'Simulazione 7.2'!O87,0)</f>
        <v>0</v>
      </c>
      <c r="O67" s="99">
        <f>IF($D$76&gt;1,'Simulazione 7.2'!P70+'Simulazione 7.2'!P71+'Simulazione 7.2'!P72+'Simulazione 7.2'!P74+'Simulazione 7.2'!P75-'Simulazione 7.2'!P78-'Simulazione 7.2'!P84-'Simulazione 7.2'!P86-'Simulazione 7.2'!P87,0)</f>
        <v>0</v>
      </c>
      <c r="P67" s="99">
        <f>IF($D$76&gt;1,'Simulazione 7.2'!Q70+'Simulazione 7.2'!Q71+'Simulazione 7.2'!Q72+'Simulazione 7.2'!Q74+'Simulazione 7.2'!Q75-'Simulazione 7.2'!Q78-'Simulazione 7.2'!Q84-'Simulazione 7.2'!Q86-'Simulazione 7.2'!Q87,0)</f>
        <v>0</v>
      </c>
      <c r="Q67" s="99">
        <f>IF($D$76&gt;1,'Simulazione 7.2'!R70+'Simulazione 7.2'!R71+'Simulazione 7.2'!R72+'Simulazione 7.2'!R74+'Simulazione 7.2'!R75-'Simulazione 7.2'!R78-'Simulazione 7.2'!R84-'Simulazione 7.2'!R86-'Simulazione 7.2'!R87,0)</f>
        <v>0</v>
      </c>
      <c r="R67" s="99">
        <f>IF($D$76&gt;1,'Simulazione 7.2'!S70+'Simulazione 7.2'!S71+'Simulazione 7.2'!S72+'Simulazione 7.2'!S74+'Simulazione 7.2'!S75-'Simulazione 7.2'!S78-'Simulazione 7.2'!S84-'Simulazione 7.2'!S86-'Simulazione 7.2'!S87,0)</f>
        <v>0</v>
      </c>
      <c r="S67" s="99">
        <f>IF($D$76&gt;1,'Simulazione 7.2'!T70+'Simulazione 7.2'!T71+'Simulazione 7.2'!T72+'Simulazione 7.2'!T74+'Simulazione 7.2'!T75-'Simulazione 7.2'!T78-'Simulazione 7.2'!T84-'Simulazione 7.2'!T86-'Simulazione 7.2'!T87,0)</f>
        <v>0</v>
      </c>
      <c r="T67" s="99">
        <f>IF($D$76&gt;1,'Simulazione 7.2'!U70+'Simulazione 7.2'!U71+'Simulazione 7.2'!U72+'Simulazione 7.2'!U74+'Simulazione 7.2'!U75-'Simulazione 7.2'!U78-'Simulazione 7.2'!U84-'Simulazione 7.2'!U86-'Simulazione 7.2'!U87,0)</f>
        <v>0</v>
      </c>
      <c r="U67" s="99">
        <f>IF($D$76&gt;1,'Simulazione 7.2'!V70+'Simulazione 7.2'!V71+'Simulazione 7.2'!V72+'Simulazione 7.2'!V74+'Simulazione 7.2'!V75-'Simulazione 7.2'!V78-'Simulazione 7.2'!V84-'Simulazione 7.2'!V86-'Simulazione 7.2'!V87,0)</f>
        <v>0</v>
      </c>
      <c r="V67" s="99">
        <f>IF($D$76&gt;1,'Simulazione 7.2'!W70+'Simulazione 7.2'!W71+'Simulazione 7.2'!W72+'Simulazione 7.2'!W74+'Simulazione 7.2'!W75-'Simulazione 7.2'!W78-'Simulazione 7.2'!W84-'Simulazione 7.2'!W86-'Simulazione 7.2'!W87,0)</f>
        <v>0</v>
      </c>
      <c r="W67" s="99">
        <f>IF($D$76&gt;1,'Simulazione 7.2'!X70+'Simulazione 7.2'!X71+'Simulazione 7.2'!X72+'Simulazione 7.2'!X74+'Simulazione 7.2'!X75-'Simulazione 7.2'!X78-'Simulazione 7.2'!X84-'Simulazione 7.2'!X86-'Simulazione 7.2'!X87,0)</f>
        <v>0</v>
      </c>
      <c r="X67" s="99">
        <f>IF($D$76&gt;1,'Simulazione 7.2'!Y70+'Simulazione 7.2'!Y71+'Simulazione 7.2'!Y72+'Simulazione 7.2'!Y74+'Simulazione 7.2'!Y75-'Simulazione 7.2'!Y78-'Simulazione 7.2'!Y84-'Simulazione 7.2'!Y86-'Simulazione 7.2'!Y87,0)</f>
        <v>0</v>
      </c>
      <c r="Y67" s="99">
        <f>IF($D$76&gt;1,'Simulazione 7.2'!Z70+'Simulazione 7.2'!Z71+'Simulazione 7.2'!Z72+'Simulazione 7.2'!Z74+'Simulazione 7.2'!Z75-'Simulazione 7.2'!Z78-'Simulazione 7.2'!Z84-'Simulazione 7.2'!Z86-'Simulazione 7.2'!Z87,0)</f>
        <v>0</v>
      </c>
      <c r="Z67" s="99">
        <f>IF($D$76&gt;1,'Simulazione 7.2'!AA70+'Simulazione 7.2'!AA71+'Simulazione 7.2'!AA72+'Simulazione 7.2'!AA74+'Simulazione 7.2'!AA75-'Simulazione 7.2'!AA78-'Simulazione 7.2'!AA84-'Simulazione 7.2'!AA86-'Simulazione 7.2'!AA87,0)</f>
        <v>0</v>
      </c>
      <c r="AA67" s="99">
        <f>IF($D$76&gt;1,'Simulazione 7.2'!AB70+'Simulazione 7.2'!AB71+'Simulazione 7.2'!AB72+'Simulazione 7.2'!AB74+'Simulazione 7.2'!AB75-'Simulazione 7.2'!AB78-'Simulazione 7.2'!AB84-'Simulazione 7.2'!AB86-'Simulazione 7.2'!AB87,0)</f>
        <v>0</v>
      </c>
      <c r="AB67" s="99">
        <f>IF($D$76&gt;1,'Simulazione 7.2'!AC70+'Simulazione 7.2'!AC71+'Simulazione 7.2'!AC72+'Simulazione 7.2'!AC74+'Simulazione 7.2'!AC75-'Simulazione 7.2'!AC78-'Simulazione 7.2'!AC84-'Simulazione 7.2'!AC86-'Simulazione 7.2'!AC87,0)</f>
        <v>0</v>
      </c>
    </row>
    <row r="68" spans="3:28">
      <c r="D68" s="100">
        <f t="shared" ref="D68:I68" si="35">IF(D67&gt;0,D67,0)</f>
        <v>0</v>
      </c>
      <c r="E68" s="100">
        <f t="shared" si="35"/>
        <v>0</v>
      </c>
      <c r="F68" s="100">
        <f t="shared" si="35"/>
        <v>0</v>
      </c>
      <c r="G68" s="100">
        <f t="shared" si="35"/>
        <v>0</v>
      </c>
      <c r="H68" s="100">
        <f t="shared" si="35"/>
        <v>0</v>
      </c>
      <c r="I68" s="100">
        <f t="shared" si="35"/>
        <v>0</v>
      </c>
      <c r="J68" s="100">
        <f t="shared" ref="J68:AB68" si="36">IF(J67&gt;0,J67,0)</f>
        <v>0</v>
      </c>
      <c r="K68" s="100">
        <f t="shared" si="36"/>
        <v>0</v>
      </c>
      <c r="L68" s="100">
        <f t="shared" si="36"/>
        <v>0</v>
      </c>
      <c r="M68" s="100">
        <f t="shared" si="36"/>
        <v>0</v>
      </c>
      <c r="N68" s="100">
        <f t="shared" si="36"/>
        <v>0</v>
      </c>
      <c r="O68" s="100">
        <f t="shared" si="36"/>
        <v>0</v>
      </c>
      <c r="P68" s="100">
        <f t="shared" si="36"/>
        <v>0</v>
      </c>
      <c r="Q68" s="100">
        <f t="shared" si="36"/>
        <v>0</v>
      </c>
      <c r="R68" s="100">
        <f t="shared" si="36"/>
        <v>0</v>
      </c>
      <c r="S68" s="100">
        <f t="shared" si="36"/>
        <v>0</v>
      </c>
      <c r="T68" s="100">
        <f t="shared" si="36"/>
        <v>0</v>
      </c>
      <c r="U68" s="100">
        <f t="shared" si="36"/>
        <v>0</v>
      </c>
      <c r="V68" s="100">
        <f t="shared" si="36"/>
        <v>0</v>
      </c>
      <c r="W68" s="100">
        <f t="shared" si="36"/>
        <v>0</v>
      </c>
      <c r="X68" s="100">
        <f t="shared" si="36"/>
        <v>0</v>
      </c>
      <c r="Y68" s="100">
        <f t="shared" si="36"/>
        <v>0</v>
      </c>
      <c r="Z68" s="100">
        <f t="shared" si="36"/>
        <v>0</v>
      </c>
      <c r="AA68" s="100">
        <f t="shared" si="36"/>
        <v>0</v>
      </c>
      <c r="AB68" s="100">
        <f t="shared" si="36"/>
        <v>0</v>
      </c>
    </row>
    <row r="70" spans="3:28">
      <c r="C70" s="6">
        <v>1</v>
      </c>
      <c r="D70" s="6" t="s">
        <v>92</v>
      </c>
    </row>
    <row r="71" spans="3:28">
      <c r="C71" s="6">
        <v>2</v>
      </c>
      <c r="D71" s="6" t="s">
        <v>116</v>
      </c>
      <c r="I71" s="64" t="s">
        <v>89</v>
      </c>
      <c r="L71" s="64" t="s">
        <v>132</v>
      </c>
      <c r="N71" s="6" t="s">
        <v>136</v>
      </c>
    </row>
    <row r="72" spans="3:28">
      <c r="C72" s="6">
        <v>3</v>
      </c>
      <c r="D72" s="6" t="s">
        <v>115</v>
      </c>
      <c r="I72" s="6" t="b">
        <f>OR(D76=2,D76=3,D76=4)</f>
        <v>0</v>
      </c>
      <c r="L72" s="6" t="b">
        <f>OR(D76=C70,D76=6)</f>
        <v>1</v>
      </c>
      <c r="M72" s="6">
        <v>1</v>
      </c>
      <c r="N72" s="6" t="b">
        <f>AND('Simulazione 7.2'!$C$3&lt;=50)</f>
        <v>1</v>
      </c>
      <c r="O72" s="6">
        <v>200</v>
      </c>
      <c r="P72" s="6">
        <f>IF(N72=TRUE,O72,0)</f>
        <v>200</v>
      </c>
    </row>
    <row r="73" spans="3:28">
      <c r="C73" s="6">
        <v>4</v>
      </c>
      <c r="D73" s="6" t="s">
        <v>114</v>
      </c>
      <c r="I73" s="64" t="s">
        <v>129</v>
      </c>
      <c r="M73" s="6">
        <v>2</v>
      </c>
      <c r="N73" s="6" t="b">
        <f>AND('Simulazione 7.2'!$C$3&lt;=100,'Simulazione 7.2'!$C$3&gt;50)</f>
        <v>0</v>
      </c>
      <c r="O73" s="6">
        <v>300</v>
      </c>
      <c r="P73" s="6">
        <f>IF(N73=TRUE,O73,0)</f>
        <v>0</v>
      </c>
      <c r="Q73" s="156"/>
    </row>
    <row r="74" spans="3:28">
      <c r="C74" s="6">
        <v>5</v>
      </c>
      <c r="D74" s="6" t="s">
        <v>164</v>
      </c>
      <c r="I74" s="6" t="b">
        <f>OR(D76=3,D76=4,D76=5)</f>
        <v>0</v>
      </c>
      <c r="M74" s="6">
        <v>3</v>
      </c>
      <c r="N74" s="6" t="b">
        <f>AND('Simulazione 7.2'!$C$3&lt;=500,'Simulazione 7.2'!$C$3&gt;100)</f>
        <v>0</v>
      </c>
      <c r="O74" s="6">
        <v>600</v>
      </c>
      <c r="P74" s="6">
        <f>IF(N74=TRUE,O74,0)</f>
        <v>0</v>
      </c>
      <c r="Q74" s="156"/>
    </row>
    <row r="75" spans="3:28">
      <c r="C75" s="6">
        <v>6</v>
      </c>
      <c r="D75" s="6" t="s">
        <v>128</v>
      </c>
      <c r="I75" s="64" t="s">
        <v>130</v>
      </c>
      <c r="M75" s="6">
        <v>4</v>
      </c>
      <c r="N75" s="6" t="b">
        <f>AND('Simulazione 7.2'!$C$3&lt;=1000,'Simulazione 7.2'!$C$3&gt;500)</f>
        <v>0</v>
      </c>
      <c r="O75" s="6">
        <v>1600</v>
      </c>
      <c r="P75" s="6">
        <f>IF(N75=TRUE,O75,0)</f>
        <v>0</v>
      </c>
      <c r="Q75" s="156"/>
    </row>
    <row r="76" spans="3:28">
      <c r="D76" s="91">
        <v>1</v>
      </c>
      <c r="I76" s="6" t="b">
        <f>OR(D76=2,D76=3)</f>
        <v>0</v>
      </c>
      <c r="M76" s="6">
        <v>5</v>
      </c>
      <c r="N76" s="6" t="b">
        <f>AND('Simulazione 7.2'!$C$3&gt;1000)</f>
        <v>0</v>
      </c>
      <c r="O76" s="6">
        <v>2600</v>
      </c>
      <c r="P76" s="6">
        <f>IF(N76=TRUE,O76,0)</f>
        <v>0</v>
      </c>
      <c r="Q76" s="156"/>
    </row>
    <row r="77" spans="3:28">
      <c r="I77" s="64" t="s">
        <v>131</v>
      </c>
      <c r="O77" s="6">
        <f>'Simulazione 7.2'!C3-'Simulazione 7.2'!C4</f>
        <v>0</v>
      </c>
      <c r="P77" s="64">
        <f>SUM(P72:P76)</f>
        <v>200</v>
      </c>
    </row>
    <row r="78" spans="3:28">
      <c r="D78" s="6" t="s">
        <v>86</v>
      </c>
      <c r="F78" s="6">
        <f>'Simulazione 7.2'!C3*'Simulazione 7.2'!C37</f>
        <v>6900</v>
      </c>
      <c r="I78" s="6" t="b">
        <f>OR(D76=4,D76=5)</f>
        <v>0</v>
      </c>
    </row>
    <row r="79" spans="3:28">
      <c r="D79" s="6" t="s">
        <v>85</v>
      </c>
      <c r="F79" s="6">
        <f>IF(D76&gt;1,('Simulazione 7.2'!C37*'Simulazione 7.2'!C3)/100*'Simulazione 7.2'!$K$9,0)</f>
        <v>0</v>
      </c>
    </row>
    <row r="81" spans="3:28">
      <c r="D81" s="99">
        <f>$F$78</f>
        <v>6900</v>
      </c>
      <c r="E81" s="99">
        <f>$F$78</f>
        <v>6900</v>
      </c>
      <c r="F81" s="99">
        <f>$F$78</f>
        <v>6900</v>
      </c>
      <c r="G81" s="99">
        <f t="shared" ref="G81:AB81" si="37">$F$78</f>
        <v>6900</v>
      </c>
      <c r="H81" s="99">
        <f t="shared" si="37"/>
        <v>6900</v>
      </c>
      <c r="I81" s="99">
        <f t="shared" si="37"/>
        <v>6900</v>
      </c>
      <c r="J81" s="99">
        <f t="shared" si="37"/>
        <v>6900</v>
      </c>
      <c r="K81" s="99">
        <f t="shared" si="37"/>
        <v>6900</v>
      </c>
      <c r="L81" s="99">
        <f t="shared" si="37"/>
        <v>6900</v>
      </c>
      <c r="M81" s="99">
        <f t="shared" si="37"/>
        <v>6900</v>
      </c>
      <c r="N81" s="99">
        <f t="shared" si="37"/>
        <v>6900</v>
      </c>
      <c r="O81" s="99">
        <f t="shared" si="37"/>
        <v>6900</v>
      </c>
      <c r="P81" s="99">
        <f t="shared" si="37"/>
        <v>6900</v>
      </c>
      <c r="Q81" s="99">
        <f t="shared" si="37"/>
        <v>6900</v>
      </c>
      <c r="R81" s="99">
        <f t="shared" si="37"/>
        <v>6900</v>
      </c>
      <c r="S81" s="99">
        <f t="shared" si="37"/>
        <v>6900</v>
      </c>
      <c r="T81" s="99">
        <f t="shared" si="37"/>
        <v>6900</v>
      </c>
      <c r="U81" s="99">
        <f t="shared" si="37"/>
        <v>6900</v>
      </c>
      <c r="V81" s="99">
        <f t="shared" si="37"/>
        <v>6900</v>
      </c>
      <c r="W81" s="99">
        <f t="shared" si="37"/>
        <v>6900</v>
      </c>
      <c r="X81" s="99">
        <f t="shared" si="37"/>
        <v>6900</v>
      </c>
      <c r="Y81" s="99">
        <f t="shared" si="37"/>
        <v>6900</v>
      </c>
      <c r="Z81" s="99">
        <f t="shared" si="37"/>
        <v>6900</v>
      </c>
      <c r="AA81" s="99">
        <f t="shared" si="37"/>
        <v>6900</v>
      </c>
      <c r="AB81" s="99">
        <f t="shared" si="37"/>
        <v>6900</v>
      </c>
    </row>
    <row r="82" spans="3:28">
      <c r="C82" s="99"/>
      <c r="D82" s="99">
        <f>$F$78/100*'Simulazione 7.2'!$K$9/2</f>
        <v>310.5</v>
      </c>
      <c r="E82" s="99">
        <f>D82+$F$79</f>
        <v>310.5</v>
      </c>
      <c r="F82" s="99">
        <f t="shared" ref="F82:W82" si="38">E82+$F$79</f>
        <v>310.5</v>
      </c>
      <c r="G82" s="99">
        <f t="shared" si="38"/>
        <v>310.5</v>
      </c>
      <c r="H82" s="99">
        <f t="shared" si="38"/>
        <v>310.5</v>
      </c>
      <c r="I82" s="99">
        <f t="shared" si="38"/>
        <v>310.5</v>
      </c>
      <c r="J82" s="99">
        <f t="shared" si="38"/>
        <v>310.5</v>
      </c>
      <c r="K82" s="99">
        <f t="shared" si="38"/>
        <v>310.5</v>
      </c>
      <c r="L82" s="99">
        <f t="shared" si="38"/>
        <v>310.5</v>
      </c>
      <c r="M82" s="99">
        <f t="shared" si="38"/>
        <v>310.5</v>
      </c>
      <c r="N82" s="99">
        <f t="shared" si="38"/>
        <v>310.5</v>
      </c>
      <c r="O82" s="99">
        <f t="shared" si="38"/>
        <v>310.5</v>
      </c>
      <c r="P82" s="99">
        <f t="shared" si="38"/>
        <v>310.5</v>
      </c>
      <c r="Q82" s="99">
        <f t="shared" si="38"/>
        <v>310.5</v>
      </c>
      <c r="R82" s="99">
        <f t="shared" si="38"/>
        <v>310.5</v>
      </c>
      <c r="S82" s="99">
        <f t="shared" si="38"/>
        <v>310.5</v>
      </c>
      <c r="T82" s="99">
        <f t="shared" si="38"/>
        <v>310.5</v>
      </c>
      <c r="U82" s="99">
        <f t="shared" si="38"/>
        <v>310.5</v>
      </c>
      <c r="V82" s="99">
        <f t="shared" si="38"/>
        <v>310.5</v>
      </c>
      <c r="W82" s="99">
        <f t="shared" si="38"/>
        <v>310.5</v>
      </c>
      <c r="X82" s="99">
        <f t="shared" ref="X82" si="39">W82+$F$79</f>
        <v>310.5</v>
      </c>
      <c r="Y82" s="99">
        <f t="shared" ref="Y82" si="40">X82+$F$79</f>
        <v>310.5</v>
      </c>
      <c r="Z82" s="99">
        <f t="shared" ref="Z82" si="41">Y82+$F$79</f>
        <v>310.5</v>
      </c>
      <c r="AA82" s="99">
        <f t="shared" ref="AA82" si="42">Z82+$F$79</f>
        <v>310.5</v>
      </c>
      <c r="AB82" s="99">
        <f t="shared" ref="AB82" si="43">AA82+$F$79</f>
        <v>310.5</v>
      </c>
    </row>
    <row r="83" spans="3:28"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</row>
    <row r="84" spans="3:28"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100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</row>
    <row r="85" spans="3:28">
      <c r="D85" s="99">
        <f>IF(D82&lt;D81,1,0)</f>
        <v>1</v>
      </c>
      <c r="E85" s="99">
        <f t="shared" ref="E85:W85" si="44">IF(E82&lt;E81,1,0)</f>
        <v>1</v>
      </c>
      <c r="F85" s="99">
        <f t="shared" si="44"/>
        <v>1</v>
      </c>
      <c r="G85" s="99">
        <f t="shared" si="44"/>
        <v>1</v>
      </c>
      <c r="H85" s="99">
        <f t="shared" si="44"/>
        <v>1</v>
      </c>
      <c r="I85" s="99">
        <f t="shared" si="44"/>
        <v>1</v>
      </c>
      <c r="J85" s="99">
        <f t="shared" si="44"/>
        <v>1</v>
      </c>
      <c r="K85" s="99">
        <f t="shared" si="44"/>
        <v>1</v>
      </c>
      <c r="L85" s="99">
        <f t="shared" si="44"/>
        <v>1</v>
      </c>
      <c r="M85" s="99">
        <f t="shared" si="44"/>
        <v>1</v>
      </c>
      <c r="N85" s="99">
        <f t="shared" si="44"/>
        <v>1</v>
      </c>
      <c r="O85" s="99">
        <f t="shared" si="44"/>
        <v>1</v>
      </c>
      <c r="P85" s="99">
        <f t="shared" si="44"/>
        <v>1</v>
      </c>
      <c r="Q85" s="99">
        <f t="shared" si="44"/>
        <v>1</v>
      </c>
      <c r="R85" s="99">
        <f t="shared" si="44"/>
        <v>1</v>
      </c>
      <c r="S85" s="99">
        <f t="shared" si="44"/>
        <v>1</v>
      </c>
      <c r="T85" s="99">
        <f t="shared" si="44"/>
        <v>1</v>
      </c>
      <c r="U85" s="99">
        <f t="shared" si="44"/>
        <v>1</v>
      </c>
      <c r="V85" s="99">
        <f t="shared" si="44"/>
        <v>1</v>
      </c>
      <c r="W85" s="99">
        <f t="shared" si="44"/>
        <v>1</v>
      </c>
      <c r="X85" s="99">
        <f t="shared" ref="X85:AB85" si="45">IF(X82&lt;X81,1,0)</f>
        <v>1</v>
      </c>
      <c r="Y85" s="99">
        <f t="shared" si="45"/>
        <v>1</v>
      </c>
      <c r="Z85" s="99">
        <f t="shared" si="45"/>
        <v>1</v>
      </c>
      <c r="AA85" s="99">
        <f t="shared" si="45"/>
        <v>1</v>
      </c>
      <c r="AB85" s="99">
        <f t="shared" si="45"/>
        <v>1</v>
      </c>
    </row>
    <row r="86" spans="3:28">
      <c r="D86" s="99">
        <f>IF(Calcoli!$D$76&gt;1,Calcoli!$F$79/2,0)</f>
        <v>0</v>
      </c>
      <c r="E86" s="99">
        <f>IF(Calcoli!$D$76&gt;1,Calcoli!$F$79,0)</f>
        <v>0</v>
      </c>
      <c r="F86" s="99">
        <f>IF(Calcoli!$D$76&gt;1,Calcoli!$F$79,0)</f>
        <v>0</v>
      </c>
      <c r="G86" s="99">
        <f>IF(Calcoli!$D$76&gt;1,Calcoli!$F$79,0)</f>
        <v>0</v>
      </c>
      <c r="H86" s="99">
        <f>IF(Calcoli!$D$76&gt;1,Calcoli!$F$79,0)</f>
        <v>0</v>
      </c>
      <c r="I86" s="99">
        <f>IF(Calcoli!$D$76&gt;1,Calcoli!$F$79,0)</f>
        <v>0</v>
      </c>
      <c r="J86" s="99">
        <f>IF(Calcoli!$D$76&gt;1,Calcoli!$F$79,0)</f>
        <v>0</v>
      </c>
      <c r="K86" s="99">
        <f>IF(Calcoli!$D$76&gt;1,Calcoli!$F$79,0)</f>
        <v>0</v>
      </c>
      <c r="L86" s="99">
        <f>IF(Calcoli!$D$76&gt;1,Calcoli!$F$79,0)</f>
        <v>0</v>
      </c>
      <c r="M86" s="99">
        <f>IF(Calcoli!$D$76&gt;1,Calcoli!$F$79,0)</f>
        <v>0</v>
      </c>
      <c r="N86" s="99">
        <f>IF(Calcoli!$D$76&gt;1,Calcoli!$F$79,0)</f>
        <v>0</v>
      </c>
      <c r="O86" s="99">
        <f>IF(Calcoli!$D$76&gt;1,Calcoli!$F$79,0)</f>
        <v>0</v>
      </c>
      <c r="P86" s="99">
        <f>IF(Calcoli!$D$76&gt;1,Calcoli!$F$79,0)</f>
        <v>0</v>
      </c>
      <c r="Q86" s="99">
        <f>IF(Calcoli!$D$76&gt;1,Calcoli!$F$79,0)</f>
        <v>0</v>
      </c>
      <c r="R86" s="99">
        <f>IF(Calcoli!$D$76&gt;1,Calcoli!$F$79,0)</f>
        <v>0</v>
      </c>
      <c r="S86" s="99">
        <f>IF(Calcoli!$D$76&gt;1,Calcoli!$F$79,0)</f>
        <v>0</v>
      </c>
      <c r="T86" s="99">
        <f>IF(Calcoli!$D$76&gt;1,Calcoli!$F$79,0)</f>
        <v>0</v>
      </c>
      <c r="U86" s="99">
        <f>IF(Calcoli!$D$76&gt;1,Calcoli!$F$79,0)</f>
        <v>0</v>
      </c>
      <c r="V86" s="99">
        <f>IF(Calcoli!$D$76&gt;1,Calcoli!$F$79,0)</f>
        <v>0</v>
      </c>
      <c r="W86" s="99">
        <f>IF(Calcoli!$D$76&gt;1,Calcoli!$F$79,0)</f>
        <v>0</v>
      </c>
      <c r="X86" s="99">
        <f>IF(Calcoli!$D$76&gt;1,Calcoli!$F$79,0)</f>
        <v>0</v>
      </c>
      <c r="Y86" s="99">
        <f>IF(Calcoli!$D$76&gt;1,Calcoli!$F$79,0)</f>
        <v>0</v>
      </c>
      <c r="Z86" s="99">
        <f>IF(Calcoli!$D$76&gt;1,Calcoli!$F$79,0)</f>
        <v>0</v>
      </c>
      <c r="AA86" s="99">
        <f>IF(Calcoli!$D$76&gt;1,Calcoli!$F$79,0)</f>
        <v>0</v>
      </c>
      <c r="AB86" s="99">
        <f>IF(Calcoli!$D$76&gt;1,Calcoli!$F$79,0)</f>
        <v>0</v>
      </c>
    </row>
    <row r="87" spans="3:28" ht="10.5" customHeight="1"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100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</row>
    <row r="88" spans="3:28">
      <c r="D88" s="99">
        <f>IF(D85=1,D86,0)</f>
        <v>0</v>
      </c>
      <c r="E88" s="99">
        <f>IF(E85=1,E86,$F$78-(D88))</f>
        <v>0</v>
      </c>
      <c r="F88" s="99">
        <f>IF(F85=1,F86,$F$78-(E88+D88))</f>
        <v>0</v>
      </c>
      <c r="G88" s="99">
        <f>IF(G85=1,G86,$F$78-(F88+E88+D88))</f>
        <v>0</v>
      </c>
      <c r="H88" s="99">
        <f>IF(H85=1,H86,$F$78-(G88+F88+E88+D88))</f>
        <v>0</v>
      </c>
      <c r="I88" s="99">
        <f>IF(I85=1,I86,$F$78-(H88+G88+F88+E88+D88))</f>
        <v>0</v>
      </c>
      <c r="J88" s="99">
        <f>IF(J85=1,J86,$F$78-(I88+H88+G88+F88+E88+D88))</f>
        <v>0</v>
      </c>
      <c r="K88" s="99">
        <f>IF(K85=1,K86,$F$78-(J88+I88+H88+G88+F88+E88+D88))</f>
        <v>0</v>
      </c>
      <c r="L88" s="99">
        <f>IF(L85=1,L86,$F$78-(K88+J88+I88+H88+G88+F88+E88+D88))</f>
        <v>0</v>
      </c>
      <c r="M88" s="99">
        <f>IF(M85=1,M86,$F$78-(L88+K88+J88+I88+H88+G88+F88+E88+D88))</f>
        <v>0</v>
      </c>
      <c r="N88" s="99">
        <f>IF(N85=1,N86,$F$78-(M88+L88+K88+J88+I88+H88+G88+F88+E88+D88))</f>
        <v>0</v>
      </c>
      <c r="O88" s="99">
        <f>IF(O85=1,O86,$F$78-(N88+M88+L88+K88+J88+I88+H88+G88+F88+E88+D88))</f>
        <v>0</v>
      </c>
      <c r="P88" s="99">
        <f>IF(P85=1,P86,$F$78-(O88+N88+M88+L88+K88+J88+I88+H88+G88+F88+E88+D88))</f>
        <v>0</v>
      </c>
      <c r="Q88" s="99">
        <f>IF(Q85=1,Q86,$F$78-(P88+O88+N88+M88+L88+K88+J88+I88+H88+G88+F88+E88+D88))</f>
        <v>0</v>
      </c>
      <c r="R88" s="99">
        <f>IF(R85=1,R86,$F$78-(Q88+P88+O88+N88+M88+L88+K88+J88+I88+H88+G88+F88+E88+D88))</f>
        <v>0</v>
      </c>
      <c r="S88" s="99">
        <f>IF(S85=1,S86,$F$78-(R88+Q88+P88+O88+N88+M88+L88+K88+J88+I88+H88+G88+F88+E88+D88))</f>
        <v>0</v>
      </c>
      <c r="T88" s="99">
        <f>IF(T85=1,T86,$F$78-(S88+R88+Q88+P88+O88+N88+M88+L88+K88+J88+I88+H88+G88+F88+E88+D88))</f>
        <v>0</v>
      </c>
      <c r="U88" s="99">
        <f>IF(U85=1,U86,$F$78-(T88+S88+R88+Q88+P88+O88+N88+M88+L88+K88+J88+I88+H88+G88+F88+E88+D88))</f>
        <v>0</v>
      </c>
      <c r="V88" s="99">
        <f>IF(V85=1,V86,$F$78-(U88+T88+S88+R88+Q88+P88+O88+N88+M88+L88+K88+J88+I88+H88+G88+F88+E88+D88))</f>
        <v>0</v>
      </c>
      <c r="W88" s="99">
        <f>IF(W85=1,W86,$F$78-(V88+U88+T88+S88+R88+Q88+P88+O88+N88+M88+L88+K88+J88+I88+H88+G88+F88+E88+D88))</f>
        <v>0</v>
      </c>
      <c r="X88" s="99">
        <f>IF(X85=1,X86,$F$78-(W88+V88+U88+T88+S88+R88+Q88+P88+O88+N88+M88+L88+K88+J88+I88+H88+G88+F88+E88+D88))</f>
        <v>0</v>
      </c>
      <c r="Y88" s="99">
        <f>IF(Y85=1,Y86,$F$78-(X88+W88+V88+U88+T88+S88+R88+Q88+P88+O88+N88+M88+L88+K88+J88+I88+H88+G88+F88+E88+D88))</f>
        <v>0</v>
      </c>
      <c r="Z88" s="99">
        <f>IF(Z85=1,Z86,$F$78-(Y88+X88+W88+V88+U88+T88+S88+R88+Q88+P88+O88+N88+M88+L88+K88+J88+I88+H88+G88+F88+E88+D88))</f>
        <v>0</v>
      </c>
      <c r="AA88" s="99">
        <f>IF(AA85=1,AA86,$F$78-(Z88+Y88+X88+W88+V88+U88+T88+S88+R88+Q88+P88+O88+N88+M88+L88+K88+J88+I88+H88+G88+F88+E88+D88))</f>
        <v>0</v>
      </c>
      <c r="AB88" s="99">
        <f>IF(AB85=1,AB86,$F$78-(AA88+Z88+Y88+X88+W88+V88+U88+T88+S88+R88+Q88+P88+O88+N88+M88+L88+K88+J88+I88+H88+G88+F88+E88+D88))</f>
        <v>0</v>
      </c>
    </row>
    <row r="90" spans="3:28">
      <c r="N90" s="99"/>
      <c r="O90" s="99"/>
    </row>
    <row r="91" spans="3:28">
      <c r="F91" s="99"/>
    </row>
    <row r="92" spans="3:28">
      <c r="D92" s="99">
        <f>'Simulazione 7.2'!E79</f>
        <v>0</v>
      </c>
      <c r="E92" s="99">
        <f>'Simulazione 7.2'!F79</f>
        <v>0</v>
      </c>
      <c r="F92" s="99">
        <f>'Simulazione 7.2'!G79</f>
        <v>0</v>
      </c>
      <c r="G92" s="99">
        <f>'Simulazione 7.2'!H79</f>
        <v>0</v>
      </c>
      <c r="H92" s="99">
        <f>'Simulazione 7.2'!I79</f>
        <v>0</v>
      </c>
      <c r="I92" s="99">
        <f>'Simulazione 7.2'!J79</f>
        <v>0</v>
      </c>
      <c r="J92" s="99">
        <f>'Simulazione 7.2'!K79</f>
        <v>0</v>
      </c>
      <c r="K92" s="99">
        <f>'Simulazione 7.2'!L79</f>
        <v>0</v>
      </c>
      <c r="L92" s="99">
        <f>'Simulazione 7.2'!M79</f>
        <v>0</v>
      </c>
      <c r="M92" s="99">
        <f>'Simulazione 7.2'!N79</f>
        <v>0</v>
      </c>
      <c r="N92" s="99">
        <f>'Simulazione 7.2'!O79</f>
        <v>0</v>
      </c>
      <c r="O92" s="99">
        <f>'Simulazione 7.2'!P79</f>
        <v>0</v>
      </c>
      <c r="P92" s="99">
        <f>'Simulazione 7.2'!Q79</f>
        <v>0</v>
      </c>
      <c r="Q92" s="99">
        <f>'Simulazione 7.2'!R79</f>
        <v>0</v>
      </c>
      <c r="R92" s="99">
        <f>'Simulazione 7.2'!S79</f>
        <v>0</v>
      </c>
      <c r="S92" s="99">
        <f>'Simulazione 7.2'!T79</f>
        <v>0</v>
      </c>
      <c r="T92" s="99">
        <f>'Simulazione 7.2'!U79</f>
        <v>0</v>
      </c>
      <c r="U92" s="99">
        <f>'Simulazione 7.2'!V79</f>
        <v>0</v>
      </c>
      <c r="V92" s="99">
        <f>'Simulazione 7.2'!W79</f>
        <v>0</v>
      </c>
      <c r="W92" s="99">
        <f>'Simulazione 7.2'!X79</f>
        <v>0</v>
      </c>
      <c r="X92" s="99">
        <f>'Simulazione 7.2'!Y79</f>
        <v>0</v>
      </c>
      <c r="Y92" s="99">
        <f>'Simulazione 7.2'!Z79</f>
        <v>0</v>
      </c>
      <c r="Z92" s="99">
        <f>'Simulazione 7.2'!AA79</f>
        <v>0</v>
      </c>
      <c r="AA92" s="99">
        <f>'Simulazione 7.2'!AB79</f>
        <v>0</v>
      </c>
      <c r="AB92" s="99">
        <f>'Simulazione 7.2'!AC79</f>
        <v>0</v>
      </c>
    </row>
    <row r="93" spans="3:28"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</row>
    <row r="94" spans="3:28">
      <c r="C94" s="6" t="s">
        <v>107</v>
      </c>
      <c r="D94" s="100" t="b">
        <f>AND(D92&lt;15000)</f>
        <v>1</v>
      </c>
      <c r="E94" s="100" t="b">
        <f t="shared" ref="E94:W94" si="46">AND(E92&lt;15000)</f>
        <v>1</v>
      </c>
      <c r="F94" s="100" t="b">
        <f t="shared" si="46"/>
        <v>1</v>
      </c>
      <c r="G94" s="100" t="b">
        <f t="shared" si="46"/>
        <v>1</v>
      </c>
      <c r="H94" s="100" t="b">
        <f t="shared" si="46"/>
        <v>1</v>
      </c>
      <c r="I94" s="100" t="b">
        <f t="shared" si="46"/>
        <v>1</v>
      </c>
      <c r="J94" s="100" t="b">
        <f t="shared" si="46"/>
        <v>1</v>
      </c>
      <c r="K94" s="100" t="b">
        <f t="shared" si="46"/>
        <v>1</v>
      </c>
      <c r="L94" s="100" t="b">
        <f t="shared" si="46"/>
        <v>1</v>
      </c>
      <c r="M94" s="100" t="b">
        <f t="shared" si="46"/>
        <v>1</v>
      </c>
      <c r="N94" s="100" t="b">
        <f t="shared" si="46"/>
        <v>1</v>
      </c>
      <c r="O94" s="100" t="b">
        <f t="shared" si="46"/>
        <v>1</v>
      </c>
      <c r="P94" s="100" t="b">
        <f t="shared" si="46"/>
        <v>1</v>
      </c>
      <c r="Q94" s="100" t="b">
        <f t="shared" si="46"/>
        <v>1</v>
      </c>
      <c r="R94" s="100" t="b">
        <f t="shared" si="46"/>
        <v>1</v>
      </c>
      <c r="S94" s="100" t="b">
        <f t="shared" si="46"/>
        <v>1</v>
      </c>
      <c r="T94" s="100" t="b">
        <f t="shared" si="46"/>
        <v>1</v>
      </c>
      <c r="U94" s="100" t="b">
        <f t="shared" si="46"/>
        <v>1</v>
      </c>
      <c r="V94" s="100" t="b">
        <f t="shared" si="46"/>
        <v>1</v>
      </c>
      <c r="W94" s="100" t="b">
        <f t="shared" si="46"/>
        <v>1</v>
      </c>
      <c r="X94" s="100" t="b">
        <f t="shared" ref="X94:AB94" si="47">AND(X92&lt;15000)</f>
        <v>1</v>
      </c>
      <c r="Y94" s="100" t="b">
        <f t="shared" si="47"/>
        <v>1</v>
      </c>
      <c r="Z94" s="100" t="b">
        <f t="shared" si="47"/>
        <v>1</v>
      </c>
      <c r="AA94" s="100" t="b">
        <f t="shared" si="47"/>
        <v>1</v>
      </c>
      <c r="AB94" s="100" t="b">
        <f t="shared" si="47"/>
        <v>1</v>
      </c>
    </row>
    <row r="95" spans="3:28">
      <c r="C95" s="99"/>
      <c r="D95" s="100">
        <f>IF(D94=TRUE,D92/100*'Simulazione 7.2'!$L$13,0)</f>
        <v>0</v>
      </c>
      <c r="E95" s="100">
        <f>IF(E94=TRUE,E92/100*'Simulazione 7.2'!$L$13,0)</f>
        <v>0</v>
      </c>
      <c r="F95" s="100">
        <f>IF(F94=TRUE,F92/100*'Simulazione 7.2'!$L$13,0)</f>
        <v>0</v>
      </c>
      <c r="G95" s="100">
        <f>IF(G94=TRUE,G92/100*'Simulazione 7.2'!$L$13,0)</f>
        <v>0</v>
      </c>
      <c r="H95" s="100">
        <f>IF(H94=TRUE,H92/100*'Simulazione 7.2'!$L$13,0)</f>
        <v>0</v>
      </c>
      <c r="I95" s="100">
        <f>IF(I94=TRUE,I92/100*'Simulazione 7.2'!$L$13,0)</f>
        <v>0</v>
      </c>
      <c r="J95" s="100">
        <f>IF(J94=TRUE,J92/100*'Simulazione 7.2'!$L$13,0)</f>
        <v>0</v>
      </c>
      <c r="K95" s="100">
        <f>IF(K94=TRUE,K92/100*'Simulazione 7.2'!$L$13,0)</f>
        <v>0</v>
      </c>
      <c r="L95" s="100">
        <f>IF(L94=TRUE,L92/100*'Simulazione 7.2'!$L$13,0)</f>
        <v>0</v>
      </c>
      <c r="M95" s="100">
        <f>IF(M94=TRUE,M92/100*'Simulazione 7.2'!$L$13,0)</f>
        <v>0</v>
      </c>
      <c r="N95" s="100">
        <f>IF(N94=TRUE,N92/100*'Simulazione 7.2'!$L$13,0)</f>
        <v>0</v>
      </c>
      <c r="O95" s="100">
        <f>IF(O94=TRUE,O92/100*'Simulazione 7.2'!$L$13,0)</f>
        <v>0</v>
      </c>
      <c r="P95" s="100">
        <f>IF(P94=TRUE,P92/100*'Simulazione 7.2'!$L$13,0)</f>
        <v>0</v>
      </c>
      <c r="Q95" s="100">
        <f>IF(Q94=TRUE,Q92/100*'Simulazione 7.2'!$L$13,0)</f>
        <v>0</v>
      </c>
      <c r="R95" s="100">
        <f>IF(R94=TRUE,R92/100*'Simulazione 7.2'!$L$13,0)</f>
        <v>0</v>
      </c>
      <c r="S95" s="100">
        <f>IF(S94=TRUE,S92/100*'Simulazione 7.2'!$L$13,0)</f>
        <v>0</v>
      </c>
      <c r="T95" s="100">
        <f>IF(T94=TRUE,T92/100*'Simulazione 7.2'!$L$13,0)</f>
        <v>0</v>
      </c>
      <c r="U95" s="100">
        <f>IF(U94=TRUE,U92/100*'Simulazione 7.2'!$L$13,0)</f>
        <v>0</v>
      </c>
      <c r="V95" s="100">
        <f>IF(V94=TRUE,V92/100*'Simulazione 7.2'!$L$13,0)</f>
        <v>0</v>
      </c>
      <c r="W95" s="100">
        <f>IF(W94=TRUE,W92/100*'Simulazione 7.2'!$L$13,0)</f>
        <v>0</v>
      </c>
      <c r="X95" s="100">
        <f>IF(X94=TRUE,X92/100*'Simulazione 7.2'!$L$13,0)</f>
        <v>0</v>
      </c>
      <c r="Y95" s="100">
        <f>IF(Y94=TRUE,Y92/100*'Simulazione 7.2'!$L$13,0)</f>
        <v>0</v>
      </c>
      <c r="Z95" s="100">
        <f>IF(Z94=TRUE,Z92/100*'Simulazione 7.2'!$L$13,0)</f>
        <v>0</v>
      </c>
      <c r="AA95" s="100">
        <f>IF(AA94=TRUE,AA92/100*'Simulazione 7.2'!$L$13,0)</f>
        <v>0</v>
      </c>
      <c r="AB95" s="100">
        <f>IF(AB94=TRUE,AB92/100*'Simulazione 7.2'!$L$13,0)</f>
        <v>0</v>
      </c>
    </row>
    <row r="96" spans="3:28"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</row>
    <row r="97" spans="3:28">
      <c r="C97" s="99" t="s">
        <v>106</v>
      </c>
      <c r="D97" s="100" t="b">
        <f>AND(D92&lt;28001,D92&gt;15000)</f>
        <v>0</v>
      </c>
      <c r="E97" s="100" t="b">
        <f t="shared" ref="E97:W97" si="48">AND(E92&lt;28001,E92&gt;15000)</f>
        <v>0</v>
      </c>
      <c r="F97" s="100" t="b">
        <f t="shared" si="48"/>
        <v>0</v>
      </c>
      <c r="G97" s="100" t="b">
        <f t="shared" si="48"/>
        <v>0</v>
      </c>
      <c r="H97" s="100" t="b">
        <f t="shared" si="48"/>
        <v>0</v>
      </c>
      <c r="I97" s="100" t="b">
        <f t="shared" si="48"/>
        <v>0</v>
      </c>
      <c r="J97" s="100" t="b">
        <f t="shared" si="48"/>
        <v>0</v>
      </c>
      <c r="K97" s="100" t="b">
        <f t="shared" si="48"/>
        <v>0</v>
      </c>
      <c r="L97" s="100" t="b">
        <f t="shared" si="48"/>
        <v>0</v>
      </c>
      <c r="M97" s="100" t="b">
        <f t="shared" si="48"/>
        <v>0</v>
      </c>
      <c r="N97" s="100" t="b">
        <f t="shared" si="48"/>
        <v>0</v>
      </c>
      <c r="O97" s="100" t="b">
        <f t="shared" si="48"/>
        <v>0</v>
      </c>
      <c r="P97" s="100" t="b">
        <f t="shared" si="48"/>
        <v>0</v>
      </c>
      <c r="Q97" s="100" t="b">
        <f t="shared" si="48"/>
        <v>0</v>
      </c>
      <c r="R97" s="100" t="b">
        <f t="shared" si="48"/>
        <v>0</v>
      </c>
      <c r="S97" s="100" t="b">
        <f t="shared" si="48"/>
        <v>0</v>
      </c>
      <c r="T97" s="100" t="b">
        <f t="shared" si="48"/>
        <v>0</v>
      </c>
      <c r="U97" s="100" t="b">
        <f t="shared" si="48"/>
        <v>0</v>
      </c>
      <c r="V97" s="100" t="b">
        <f t="shared" si="48"/>
        <v>0</v>
      </c>
      <c r="W97" s="100" t="b">
        <f t="shared" si="48"/>
        <v>0</v>
      </c>
      <c r="X97" s="100" t="b">
        <f t="shared" ref="X97:AB97" si="49">AND(X92&lt;28001,X92&gt;15000)</f>
        <v>0</v>
      </c>
      <c r="Y97" s="100" t="b">
        <f t="shared" si="49"/>
        <v>0</v>
      </c>
      <c r="Z97" s="100" t="b">
        <f t="shared" si="49"/>
        <v>0</v>
      </c>
      <c r="AA97" s="100" t="b">
        <f t="shared" si="49"/>
        <v>0</v>
      </c>
      <c r="AB97" s="100" t="b">
        <f t="shared" si="49"/>
        <v>0</v>
      </c>
    </row>
    <row r="98" spans="3:28">
      <c r="C98" s="99"/>
      <c r="D98" s="100">
        <f>IF(D97=TRUE,3450+((D92-15000)/100*'Simulazione 7.2'!$L$14),0)</f>
        <v>0</v>
      </c>
      <c r="E98" s="100">
        <f>IF(E97=TRUE,3450+((E92-15000)/100*'Simulazione 7.2'!$L$14),0)</f>
        <v>0</v>
      </c>
      <c r="F98" s="100">
        <f>IF(F97=TRUE,3450+((F92-15000)/100*'Simulazione 7.2'!$L$14),0)</f>
        <v>0</v>
      </c>
      <c r="G98" s="100">
        <f>IF(G97=TRUE,3450+((G92-15000)/100*'Simulazione 7.2'!$L$14),0)</f>
        <v>0</v>
      </c>
      <c r="H98" s="100">
        <f>IF(H97=TRUE,3450+((H92-15000)/100*'Simulazione 7.2'!$L$14),0)</f>
        <v>0</v>
      </c>
      <c r="I98" s="100">
        <f>IF(I97=TRUE,3450+((I92-15000)/100*'Simulazione 7.2'!$L$14),0)</f>
        <v>0</v>
      </c>
      <c r="J98" s="100">
        <f>IF(J97=TRUE,3450+((J92-15000)/100*'Simulazione 7.2'!$L$14),0)</f>
        <v>0</v>
      </c>
      <c r="K98" s="100">
        <f>IF(K97=TRUE,3450+((K92-15000)/100*'Simulazione 7.2'!$L$14),0)</f>
        <v>0</v>
      </c>
      <c r="L98" s="100">
        <f>IF(L97=TRUE,3450+((L92-15000)/100*'Simulazione 7.2'!$L$14),0)</f>
        <v>0</v>
      </c>
      <c r="M98" s="100">
        <f>IF(M97=TRUE,3450+((M92-15000)/100*'Simulazione 7.2'!$L$14),0)</f>
        <v>0</v>
      </c>
      <c r="N98" s="100">
        <f>IF(N97=TRUE,3450+((N92-15000)/100*'Simulazione 7.2'!$L$14),0)</f>
        <v>0</v>
      </c>
      <c r="O98" s="100">
        <f>IF(O97=TRUE,3450+((O92-15000)/100*'Simulazione 7.2'!$L$14),0)</f>
        <v>0</v>
      </c>
      <c r="P98" s="100">
        <f>IF(P97=TRUE,3450+((P92-15000)/100*'Simulazione 7.2'!$L$14),0)</f>
        <v>0</v>
      </c>
      <c r="Q98" s="100">
        <f>IF(Q97=TRUE,3450+((Q92-15000)/100*'Simulazione 7.2'!$L$14),0)</f>
        <v>0</v>
      </c>
      <c r="R98" s="100">
        <f>IF(R97=TRUE,3450+((R92-15000)/100*'Simulazione 7.2'!$L$14),0)</f>
        <v>0</v>
      </c>
      <c r="S98" s="100">
        <f>IF(S97=TRUE,3450+((S92-15000)/100*'Simulazione 7.2'!$L$14),0)</f>
        <v>0</v>
      </c>
      <c r="T98" s="100">
        <f>IF(T97=TRUE,3450+((T92-15000)/100*'Simulazione 7.2'!$L$14),0)</f>
        <v>0</v>
      </c>
      <c r="U98" s="100">
        <f>IF(U97=TRUE,3450+((U92-15000)/100*'Simulazione 7.2'!$L$14),0)</f>
        <v>0</v>
      </c>
      <c r="V98" s="100">
        <f>IF(V97=TRUE,3450+((V92-15000)/100*'Simulazione 7.2'!$L$14),0)</f>
        <v>0</v>
      </c>
      <c r="W98" s="100">
        <f>IF(W97=TRUE,3450+((W92-15000)/100*'Simulazione 7.2'!$L$14),0)</f>
        <v>0</v>
      </c>
      <c r="X98" s="100">
        <f>IF(X97=TRUE,3450+((X92-15000)/100*'Simulazione 7.2'!$L$14),0)</f>
        <v>0</v>
      </c>
      <c r="Y98" s="100">
        <f>IF(Y97=TRUE,3450+((Y92-15000)/100*'Simulazione 7.2'!$L$14),0)</f>
        <v>0</v>
      </c>
      <c r="Z98" s="100">
        <f>IF(Z97=TRUE,3450+((Z92-15000)/100*'Simulazione 7.2'!$L$14),0)</f>
        <v>0</v>
      </c>
      <c r="AA98" s="100">
        <f>IF(AA97=TRUE,3450+((AA92-15000)/100*'Simulazione 7.2'!$L$14),0)</f>
        <v>0</v>
      </c>
      <c r="AB98" s="100">
        <f>IF(AB97=TRUE,3450+((AB92-15000)/100*'Simulazione 7.2'!$L$14),0)</f>
        <v>0</v>
      </c>
    </row>
    <row r="99" spans="3:28">
      <c r="C99" s="99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3:28">
      <c r="C100" s="99" t="s">
        <v>108</v>
      </c>
      <c r="D100" s="100" t="b">
        <f>AND(D92&lt;55001,D92&gt;28000)</f>
        <v>0</v>
      </c>
      <c r="E100" s="100" t="b">
        <f t="shared" ref="E100:W100" si="50">AND(E92&lt;55001,E92&gt;28000)</f>
        <v>0</v>
      </c>
      <c r="F100" s="100" t="b">
        <f t="shared" si="50"/>
        <v>0</v>
      </c>
      <c r="G100" s="100" t="b">
        <f t="shared" si="50"/>
        <v>0</v>
      </c>
      <c r="H100" s="100" t="b">
        <f t="shared" si="50"/>
        <v>0</v>
      </c>
      <c r="I100" s="100" t="b">
        <f t="shared" si="50"/>
        <v>0</v>
      </c>
      <c r="J100" s="100" t="b">
        <f t="shared" si="50"/>
        <v>0</v>
      </c>
      <c r="K100" s="100" t="b">
        <f t="shared" si="50"/>
        <v>0</v>
      </c>
      <c r="L100" s="100" t="b">
        <f t="shared" si="50"/>
        <v>0</v>
      </c>
      <c r="M100" s="100" t="b">
        <f t="shared" si="50"/>
        <v>0</v>
      </c>
      <c r="N100" s="100" t="b">
        <f t="shared" si="50"/>
        <v>0</v>
      </c>
      <c r="O100" s="100" t="b">
        <f t="shared" si="50"/>
        <v>0</v>
      </c>
      <c r="P100" s="100" t="b">
        <f t="shared" si="50"/>
        <v>0</v>
      </c>
      <c r="Q100" s="100" t="b">
        <f t="shared" si="50"/>
        <v>0</v>
      </c>
      <c r="R100" s="100" t="b">
        <f t="shared" si="50"/>
        <v>0</v>
      </c>
      <c r="S100" s="100" t="b">
        <f t="shared" si="50"/>
        <v>0</v>
      </c>
      <c r="T100" s="100" t="b">
        <f t="shared" si="50"/>
        <v>0</v>
      </c>
      <c r="U100" s="100" t="b">
        <f t="shared" si="50"/>
        <v>0</v>
      </c>
      <c r="V100" s="100" t="b">
        <f t="shared" si="50"/>
        <v>0</v>
      </c>
      <c r="W100" s="100" t="b">
        <f t="shared" si="50"/>
        <v>0</v>
      </c>
      <c r="X100" s="100" t="b">
        <f t="shared" ref="X100:AB100" si="51">AND(X92&lt;55001,X92&gt;28000)</f>
        <v>0</v>
      </c>
      <c r="Y100" s="100" t="b">
        <f t="shared" si="51"/>
        <v>0</v>
      </c>
      <c r="Z100" s="100" t="b">
        <f t="shared" si="51"/>
        <v>0</v>
      </c>
      <c r="AA100" s="100" t="b">
        <f t="shared" si="51"/>
        <v>0</v>
      </c>
      <c r="AB100" s="100" t="b">
        <f t="shared" si="51"/>
        <v>0</v>
      </c>
    </row>
    <row r="101" spans="3:28">
      <c r="C101" s="99"/>
      <c r="D101" s="100">
        <f>IF(D100=TRUE,6960+((D92-28000)/100*'Simulazione 7.2'!$L$15),0)</f>
        <v>0</v>
      </c>
      <c r="E101" s="100">
        <f>IF(E100=TRUE,6960+((E92-28000)/100*'Simulazione 7.2'!$L$15),0)</f>
        <v>0</v>
      </c>
      <c r="F101" s="100">
        <f>IF(F100=TRUE,6960+((F92-28000)/100*'Simulazione 7.2'!$L$15),0)</f>
        <v>0</v>
      </c>
      <c r="G101" s="100">
        <f>IF(G100=TRUE,6960+((G92-28000)/100*'Simulazione 7.2'!$L$15),0)</f>
        <v>0</v>
      </c>
      <c r="H101" s="100">
        <f>IF(H100=TRUE,6960+((H92-28000)/100*'Simulazione 7.2'!$L$15),0)</f>
        <v>0</v>
      </c>
      <c r="I101" s="100">
        <f>IF(I100=TRUE,6960+((I92-28000)/100*'Simulazione 7.2'!$L$15),0)</f>
        <v>0</v>
      </c>
      <c r="J101" s="100">
        <f>IF(J100=TRUE,6960+((J92-28000)/100*'Simulazione 7.2'!$L$15),0)</f>
        <v>0</v>
      </c>
      <c r="K101" s="100">
        <f>IF(K100=TRUE,6960+((K92-28000)/100*'Simulazione 7.2'!$L$15),0)</f>
        <v>0</v>
      </c>
      <c r="L101" s="100">
        <f>IF(L100=TRUE,6960+((L92-28000)/100*'Simulazione 7.2'!$L$15),0)</f>
        <v>0</v>
      </c>
      <c r="M101" s="100">
        <f>IF(M100=TRUE,6960+((M92-28000)/100*'Simulazione 7.2'!$L$15),0)</f>
        <v>0</v>
      </c>
      <c r="N101" s="100">
        <f>IF(N100=TRUE,6960+((N92-28000)/100*'Simulazione 7.2'!$L$15),0)</f>
        <v>0</v>
      </c>
      <c r="O101" s="100">
        <f>IF(O100=TRUE,6960+((O92-28000)/100*'Simulazione 7.2'!$L$15),0)</f>
        <v>0</v>
      </c>
      <c r="P101" s="100">
        <f>IF(P100=TRUE,6960+((P92-28000)/100*'Simulazione 7.2'!$L$15),0)</f>
        <v>0</v>
      </c>
      <c r="Q101" s="100">
        <f>IF(Q100=TRUE,6960+((Q92-28000)/100*'Simulazione 7.2'!$L$15),0)</f>
        <v>0</v>
      </c>
      <c r="R101" s="100">
        <f>IF(R100=TRUE,6960+((R92-28000)/100*'Simulazione 7.2'!$L$15),0)</f>
        <v>0</v>
      </c>
      <c r="S101" s="100">
        <f>IF(S100=TRUE,6960+((S92-28000)/100*'Simulazione 7.2'!$L$15),0)</f>
        <v>0</v>
      </c>
      <c r="T101" s="100">
        <f>IF(T100=TRUE,6960+((T92-28000)/100*'Simulazione 7.2'!$L$15),0)</f>
        <v>0</v>
      </c>
      <c r="U101" s="100">
        <f>IF(U100=TRUE,6960+((U92-28000)/100*'Simulazione 7.2'!$L$15),0)</f>
        <v>0</v>
      </c>
      <c r="V101" s="100">
        <f>IF(V100=TRUE,6960+((V92-28000)/100*'Simulazione 7.2'!$L$15),0)</f>
        <v>0</v>
      </c>
      <c r="W101" s="100">
        <f>IF(W100=TRUE,6960+((W92-28000)/100*'Simulazione 7.2'!$L$15),0)</f>
        <v>0</v>
      </c>
      <c r="X101" s="100">
        <f>IF(X100=TRUE,6960+((X92-28000)/100*'Simulazione 7.2'!$L$15),0)</f>
        <v>0</v>
      </c>
      <c r="Y101" s="100">
        <f>IF(Y100=TRUE,6960+((Y92-28000)/100*'Simulazione 7.2'!$L$15),0)</f>
        <v>0</v>
      </c>
      <c r="Z101" s="100">
        <f>IF(Z100=TRUE,6960+((Z92-28000)/100*'Simulazione 7.2'!$L$15),0)</f>
        <v>0</v>
      </c>
      <c r="AA101" s="100">
        <f>IF(AA100=TRUE,6960+((AA92-28000)/100*'Simulazione 7.2'!$L$15),0)</f>
        <v>0</v>
      </c>
      <c r="AB101" s="100">
        <f>IF(AB100=TRUE,6960+((AB92-28000)/100*'Simulazione 7.2'!$L$15),0)</f>
        <v>0</v>
      </c>
    </row>
    <row r="102" spans="3:28">
      <c r="C102" s="99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</row>
    <row r="103" spans="3:28">
      <c r="C103" s="99" t="s">
        <v>109</v>
      </c>
      <c r="D103" s="100" t="b">
        <f>AND(D92&lt;75001,D92&gt;55000)</f>
        <v>0</v>
      </c>
      <c r="E103" s="100" t="b">
        <f t="shared" ref="E103:W103" si="52">AND(E92&lt;75001,E92&gt;55000)</f>
        <v>0</v>
      </c>
      <c r="F103" s="100" t="b">
        <f t="shared" si="52"/>
        <v>0</v>
      </c>
      <c r="G103" s="100" t="b">
        <f t="shared" si="52"/>
        <v>0</v>
      </c>
      <c r="H103" s="100" t="b">
        <f t="shared" si="52"/>
        <v>0</v>
      </c>
      <c r="I103" s="100" t="b">
        <f t="shared" si="52"/>
        <v>0</v>
      </c>
      <c r="J103" s="100" t="b">
        <f t="shared" si="52"/>
        <v>0</v>
      </c>
      <c r="K103" s="100" t="b">
        <f t="shared" si="52"/>
        <v>0</v>
      </c>
      <c r="L103" s="100" t="b">
        <f t="shared" si="52"/>
        <v>0</v>
      </c>
      <c r="M103" s="100" t="b">
        <f t="shared" si="52"/>
        <v>0</v>
      </c>
      <c r="N103" s="100" t="b">
        <f t="shared" si="52"/>
        <v>0</v>
      </c>
      <c r="O103" s="100" t="b">
        <f t="shared" si="52"/>
        <v>0</v>
      </c>
      <c r="P103" s="100" t="b">
        <f t="shared" si="52"/>
        <v>0</v>
      </c>
      <c r="Q103" s="100" t="b">
        <f t="shared" si="52"/>
        <v>0</v>
      </c>
      <c r="R103" s="100" t="b">
        <f t="shared" si="52"/>
        <v>0</v>
      </c>
      <c r="S103" s="100" t="b">
        <f t="shared" si="52"/>
        <v>0</v>
      </c>
      <c r="T103" s="100" t="b">
        <f t="shared" si="52"/>
        <v>0</v>
      </c>
      <c r="U103" s="100" t="b">
        <f t="shared" si="52"/>
        <v>0</v>
      </c>
      <c r="V103" s="100" t="b">
        <f t="shared" si="52"/>
        <v>0</v>
      </c>
      <c r="W103" s="100" t="b">
        <f t="shared" si="52"/>
        <v>0</v>
      </c>
      <c r="X103" s="100" t="b">
        <f t="shared" ref="X103:AB103" si="53">AND(X92&lt;75001,X92&gt;55000)</f>
        <v>0</v>
      </c>
      <c r="Y103" s="100" t="b">
        <f t="shared" si="53"/>
        <v>0</v>
      </c>
      <c r="Z103" s="100" t="b">
        <f t="shared" si="53"/>
        <v>0</v>
      </c>
      <c r="AA103" s="100" t="b">
        <f t="shared" si="53"/>
        <v>0</v>
      </c>
      <c r="AB103" s="100" t="b">
        <f t="shared" si="53"/>
        <v>0</v>
      </c>
    </row>
    <row r="104" spans="3:28">
      <c r="D104" s="100">
        <f>IF(D103=TRUE,17220+((D92-55000)/100*'Simulazione 7.2'!$L$16),0)</f>
        <v>0</v>
      </c>
      <c r="E104" s="100">
        <f>IF(E103=TRUE,17220+((E92-55000)/100*'Simulazione 7.2'!$L$16),0)</f>
        <v>0</v>
      </c>
      <c r="F104" s="100">
        <f>IF(F103=TRUE,17220+((F92-55000)/100*'Simulazione 7.2'!$L$16),0)</f>
        <v>0</v>
      </c>
      <c r="G104" s="100">
        <f>IF(G103=TRUE,17220+((G92-55000)/100*'Simulazione 7.2'!$L$16),0)</f>
        <v>0</v>
      </c>
      <c r="H104" s="100">
        <f>IF(H103=TRUE,17220+((H92-55000)/100*'Simulazione 7.2'!$L$16),0)</f>
        <v>0</v>
      </c>
      <c r="I104" s="100">
        <f>IF(I103=TRUE,17220+((I92-55000)/100*'Simulazione 7.2'!$L$16),0)</f>
        <v>0</v>
      </c>
      <c r="J104" s="100">
        <f>IF(J103=TRUE,17220+((J92-55000)/100*'Simulazione 7.2'!$L$16),0)</f>
        <v>0</v>
      </c>
      <c r="K104" s="100">
        <f>IF(K103=TRUE,17220+((K92-55000)/100*'Simulazione 7.2'!$L$16),0)</f>
        <v>0</v>
      </c>
      <c r="L104" s="100">
        <f>IF(L103=TRUE,17220+((L92-55000)/100*'Simulazione 7.2'!$L$16),0)</f>
        <v>0</v>
      </c>
      <c r="M104" s="100">
        <f>IF(M103=TRUE,17220+((M92-55000)/100*'Simulazione 7.2'!$L$16),0)</f>
        <v>0</v>
      </c>
      <c r="N104" s="100">
        <f>IF(N103=TRUE,17220+((N92-55000)/100*'Simulazione 7.2'!$L$16),0)</f>
        <v>0</v>
      </c>
      <c r="O104" s="100">
        <f>IF(O103=TRUE,17220+((O92-55000)/100*'Simulazione 7.2'!$L$16),0)</f>
        <v>0</v>
      </c>
      <c r="P104" s="100">
        <f>IF(P103=TRUE,17220+((P92-55000)/100*'Simulazione 7.2'!$L$16),0)</f>
        <v>0</v>
      </c>
      <c r="Q104" s="100">
        <f>IF(Q103=TRUE,17220+((Q92-55000)/100*'Simulazione 7.2'!$L$16),0)</f>
        <v>0</v>
      </c>
      <c r="R104" s="100">
        <f>IF(R103=TRUE,17220+((R92-55000)/100*'Simulazione 7.2'!$L$16),0)</f>
        <v>0</v>
      </c>
      <c r="S104" s="100">
        <f>IF(S103=TRUE,17220+((S92-55000)/100*'Simulazione 7.2'!$L$16),0)</f>
        <v>0</v>
      </c>
      <c r="T104" s="100">
        <f>IF(T103=TRUE,17220+((T92-55000)/100*'Simulazione 7.2'!$L$16),0)</f>
        <v>0</v>
      </c>
      <c r="U104" s="100">
        <f>IF(U103=TRUE,17220+((U92-55000)/100*'Simulazione 7.2'!$L$16),0)</f>
        <v>0</v>
      </c>
      <c r="V104" s="100">
        <f>IF(V103=TRUE,17220+((V92-55000)/100*'Simulazione 7.2'!$L$16),0)</f>
        <v>0</v>
      </c>
      <c r="W104" s="100">
        <f>IF(W103=TRUE,17220+((W92-55000)/100*'Simulazione 7.2'!$L$16),0)</f>
        <v>0</v>
      </c>
      <c r="X104" s="100">
        <f>IF(X103=TRUE,17220+((X92-55000)/100*'Simulazione 7.2'!$L$16),0)</f>
        <v>0</v>
      </c>
      <c r="Y104" s="100">
        <f>IF(Y103=TRUE,17220+((Y92-55000)/100*'Simulazione 7.2'!$L$16),0)</f>
        <v>0</v>
      </c>
      <c r="Z104" s="100">
        <f>IF(Z103=TRUE,17220+((Z92-55000)/100*'Simulazione 7.2'!$L$16),0)</f>
        <v>0</v>
      </c>
      <c r="AA104" s="100">
        <f>IF(AA103=TRUE,17220+((AA92-55000)/100*'Simulazione 7.2'!$L$16),0)</f>
        <v>0</v>
      </c>
      <c r="AB104" s="100">
        <f>IF(AB103=TRUE,17220+((AB92-55000)/100*'Simulazione 7.2'!$L$16),0)</f>
        <v>0</v>
      </c>
    </row>
    <row r="105" spans="3:28"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</row>
    <row r="106" spans="3:28">
      <c r="C106" s="99" t="s">
        <v>110</v>
      </c>
      <c r="D106" s="100" t="b">
        <f>AND(D92&gt;75000)</f>
        <v>0</v>
      </c>
      <c r="E106" s="100" t="b">
        <f t="shared" ref="E106:W106" si="54">AND(E92&gt;75000)</f>
        <v>0</v>
      </c>
      <c r="F106" s="100" t="b">
        <f t="shared" si="54"/>
        <v>0</v>
      </c>
      <c r="G106" s="100" t="b">
        <f t="shared" si="54"/>
        <v>0</v>
      </c>
      <c r="H106" s="100" t="b">
        <f t="shared" si="54"/>
        <v>0</v>
      </c>
      <c r="I106" s="100" t="b">
        <f t="shared" si="54"/>
        <v>0</v>
      </c>
      <c r="J106" s="100" t="b">
        <f t="shared" si="54"/>
        <v>0</v>
      </c>
      <c r="K106" s="100" t="b">
        <f t="shared" si="54"/>
        <v>0</v>
      </c>
      <c r="L106" s="100" t="b">
        <f t="shared" si="54"/>
        <v>0</v>
      </c>
      <c r="M106" s="100" t="b">
        <f t="shared" si="54"/>
        <v>0</v>
      </c>
      <c r="N106" s="100" t="b">
        <f t="shared" si="54"/>
        <v>0</v>
      </c>
      <c r="O106" s="100" t="b">
        <f t="shared" si="54"/>
        <v>0</v>
      </c>
      <c r="P106" s="100" t="b">
        <f t="shared" si="54"/>
        <v>0</v>
      </c>
      <c r="Q106" s="100" t="b">
        <f t="shared" si="54"/>
        <v>0</v>
      </c>
      <c r="R106" s="100" t="b">
        <f t="shared" si="54"/>
        <v>0</v>
      </c>
      <c r="S106" s="100" t="b">
        <f t="shared" si="54"/>
        <v>0</v>
      </c>
      <c r="T106" s="100" t="b">
        <f t="shared" si="54"/>
        <v>0</v>
      </c>
      <c r="U106" s="100" t="b">
        <f t="shared" si="54"/>
        <v>0</v>
      </c>
      <c r="V106" s="100" t="b">
        <f t="shared" si="54"/>
        <v>0</v>
      </c>
      <c r="W106" s="100" t="b">
        <f t="shared" si="54"/>
        <v>0</v>
      </c>
      <c r="X106" s="100" t="b">
        <f t="shared" ref="X106:AB106" si="55">AND(X92&gt;75000)</f>
        <v>0</v>
      </c>
      <c r="Y106" s="100" t="b">
        <f t="shared" si="55"/>
        <v>0</v>
      </c>
      <c r="Z106" s="100" t="b">
        <f t="shared" si="55"/>
        <v>0</v>
      </c>
      <c r="AA106" s="100" t="b">
        <f t="shared" si="55"/>
        <v>0</v>
      </c>
      <c r="AB106" s="100" t="b">
        <f t="shared" si="55"/>
        <v>0</v>
      </c>
    </row>
    <row r="107" spans="3:28">
      <c r="D107" s="100">
        <f>IF(D106=TRUE,25420+((D92-75000)/100*'Simulazione 7.2'!$L$17),0)</f>
        <v>0</v>
      </c>
      <c r="E107" s="100">
        <f>IF(E106=TRUE,25420+((E92-75000)/100*'Simulazione 7.2'!$L$17),0)</f>
        <v>0</v>
      </c>
      <c r="F107" s="100">
        <f>IF(F106=TRUE,25420+((F92-75000)/100*'Simulazione 7.2'!$L$17),0)</f>
        <v>0</v>
      </c>
      <c r="G107" s="100">
        <f>IF(G106=TRUE,25420+((G92-75000)/100*'Simulazione 7.2'!$L$17),0)</f>
        <v>0</v>
      </c>
      <c r="H107" s="100">
        <f>IF(H106=TRUE,25420+((H92-75000)/100*'Simulazione 7.2'!$L$17),0)</f>
        <v>0</v>
      </c>
      <c r="I107" s="100">
        <f>IF(I106=TRUE,25420+((I92-75000)/100*'Simulazione 7.2'!$L$17),0)</f>
        <v>0</v>
      </c>
      <c r="J107" s="100">
        <f>IF(J106=TRUE,25420+((J92-75000)/100*'Simulazione 7.2'!$L$17),0)</f>
        <v>0</v>
      </c>
      <c r="K107" s="100">
        <f>IF(K106=TRUE,25420+((K92-75000)/100*'Simulazione 7.2'!$L$17),0)</f>
        <v>0</v>
      </c>
      <c r="L107" s="100">
        <f>IF(L106=TRUE,25420+((L92-75000)/100*'Simulazione 7.2'!$L$17),0)</f>
        <v>0</v>
      </c>
      <c r="M107" s="100">
        <f>IF(M106=TRUE,25420+((M92-75000)/100*'Simulazione 7.2'!$L$17),0)</f>
        <v>0</v>
      </c>
      <c r="N107" s="100">
        <f>IF(N106=TRUE,25420+((N92-75000)/100*'Simulazione 7.2'!$L$17),0)</f>
        <v>0</v>
      </c>
      <c r="O107" s="100">
        <f>IF(O106=TRUE,25420+((O92-75000)/100*'Simulazione 7.2'!$L$17),0)</f>
        <v>0</v>
      </c>
      <c r="P107" s="100">
        <f>IF(P106=TRUE,25420+((P92-75000)/100*'Simulazione 7.2'!$L$17),0)</f>
        <v>0</v>
      </c>
      <c r="Q107" s="100">
        <f>IF(Q106=TRUE,25420+((Q92-75000)/100*'Simulazione 7.2'!$L$17),0)</f>
        <v>0</v>
      </c>
      <c r="R107" s="100">
        <f>IF(R106=TRUE,25420+((R92-75000)/100*'Simulazione 7.2'!$L$17),0)</f>
        <v>0</v>
      </c>
      <c r="S107" s="100">
        <f>IF(S106=TRUE,25420+((S92-75000)/100*'Simulazione 7.2'!$L$17),0)</f>
        <v>0</v>
      </c>
      <c r="T107" s="100">
        <f>IF(T106=TRUE,25420+((T92-75000)/100*'Simulazione 7.2'!$L$17),0)</f>
        <v>0</v>
      </c>
      <c r="U107" s="100">
        <f>IF(U106=TRUE,25420+((U92-75000)/100*'Simulazione 7.2'!$L$17),0)</f>
        <v>0</v>
      </c>
      <c r="V107" s="100">
        <f>IF(V106=TRUE,25420+((V92-75000)/100*'Simulazione 7.2'!$L$17),0)</f>
        <v>0</v>
      </c>
      <c r="W107" s="100">
        <f>IF(W106=TRUE,25420+((W92-75000)/100*'Simulazione 7.2'!$L$17),0)</f>
        <v>0</v>
      </c>
      <c r="X107" s="100">
        <f>IF(X106=TRUE,25420+((X92-75000)/100*'Simulazione 7.2'!$L$17),0)</f>
        <v>0</v>
      </c>
      <c r="Y107" s="100">
        <f>IF(Y106=TRUE,25420+((Y92-75000)/100*'Simulazione 7.2'!$L$17),0)</f>
        <v>0</v>
      </c>
      <c r="Z107" s="100">
        <f>IF(Z106=TRUE,25420+((Z92-75000)/100*'Simulazione 7.2'!$L$17),0)</f>
        <v>0</v>
      </c>
      <c r="AA107" s="100">
        <f>IF(AA106=TRUE,25420+((AA92-75000)/100*'Simulazione 7.2'!$L$17),0)</f>
        <v>0</v>
      </c>
      <c r="AB107" s="100">
        <f>IF(AB106=TRUE,25420+((AB92-75000)/100*'Simulazione 7.2'!$L$17),0)</f>
        <v>0</v>
      </c>
    </row>
    <row r="108" spans="3:28"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3:28"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  <row r="110" spans="3:28">
      <c r="D110" s="100">
        <f>D95+D98+D101+D104+D107</f>
        <v>0</v>
      </c>
      <c r="E110" s="100">
        <f t="shared" ref="E110:W110" si="56">E95+E98+E101+E104+E107</f>
        <v>0</v>
      </c>
      <c r="F110" s="100">
        <f t="shared" si="56"/>
        <v>0</v>
      </c>
      <c r="G110" s="100">
        <f t="shared" si="56"/>
        <v>0</v>
      </c>
      <c r="H110" s="100">
        <f t="shared" si="56"/>
        <v>0</v>
      </c>
      <c r="I110" s="100">
        <f t="shared" si="56"/>
        <v>0</v>
      </c>
      <c r="J110" s="100">
        <f t="shared" si="56"/>
        <v>0</v>
      </c>
      <c r="K110" s="100">
        <f t="shared" si="56"/>
        <v>0</v>
      </c>
      <c r="L110" s="100">
        <f t="shared" si="56"/>
        <v>0</v>
      </c>
      <c r="M110" s="100">
        <f t="shared" si="56"/>
        <v>0</v>
      </c>
      <c r="N110" s="100">
        <f t="shared" si="56"/>
        <v>0</v>
      </c>
      <c r="O110" s="100">
        <f t="shared" si="56"/>
        <v>0</v>
      </c>
      <c r="P110" s="100">
        <f t="shared" si="56"/>
        <v>0</v>
      </c>
      <c r="Q110" s="100">
        <f t="shared" si="56"/>
        <v>0</v>
      </c>
      <c r="R110" s="100">
        <f t="shared" si="56"/>
        <v>0</v>
      </c>
      <c r="S110" s="100">
        <f t="shared" si="56"/>
        <v>0</v>
      </c>
      <c r="T110" s="100">
        <f t="shared" si="56"/>
        <v>0</v>
      </c>
      <c r="U110" s="100">
        <f t="shared" si="56"/>
        <v>0</v>
      </c>
      <c r="V110" s="100">
        <f t="shared" si="56"/>
        <v>0</v>
      </c>
      <c r="W110" s="100">
        <f t="shared" si="56"/>
        <v>0</v>
      </c>
      <c r="X110" s="100">
        <f t="shared" ref="X110:AB110" si="57">X95+X98+X101+X104+X107</f>
        <v>0</v>
      </c>
      <c r="Y110" s="100">
        <f t="shared" si="57"/>
        <v>0</v>
      </c>
      <c r="Z110" s="100">
        <f t="shared" si="57"/>
        <v>0</v>
      </c>
      <c r="AA110" s="100">
        <f t="shared" si="57"/>
        <v>0</v>
      </c>
      <c r="AB110" s="100">
        <f t="shared" si="57"/>
        <v>0</v>
      </c>
    </row>
    <row r="111" spans="3:28">
      <c r="D111" s="100">
        <f t="shared" ref="D111:AB111" si="58">IF(D110&gt;0,D110,0)</f>
        <v>0</v>
      </c>
      <c r="E111" s="100">
        <f t="shared" si="58"/>
        <v>0</v>
      </c>
      <c r="F111" s="100">
        <f t="shared" si="58"/>
        <v>0</v>
      </c>
      <c r="G111" s="100">
        <f t="shared" si="58"/>
        <v>0</v>
      </c>
      <c r="H111" s="100">
        <f t="shared" si="58"/>
        <v>0</v>
      </c>
      <c r="I111" s="100">
        <f t="shared" si="58"/>
        <v>0</v>
      </c>
      <c r="J111" s="100">
        <f t="shared" si="58"/>
        <v>0</v>
      </c>
      <c r="K111" s="100">
        <f t="shared" si="58"/>
        <v>0</v>
      </c>
      <c r="L111" s="100">
        <f t="shared" si="58"/>
        <v>0</v>
      </c>
      <c r="M111" s="100">
        <f t="shared" si="58"/>
        <v>0</v>
      </c>
      <c r="N111" s="100">
        <f t="shared" si="58"/>
        <v>0</v>
      </c>
      <c r="O111" s="100">
        <f t="shared" si="58"/>
        <v>0</v>
      </c>
      <c r="P111" s="100">
        <f t="shared" si="58"/>
        <v>0</v>
      </c>
      <c r="Q111" s="100">
        <f t="shared" si="58"/>
        <v>0</v>
      </c>
      <c r="R111" s="100">
        <f t="shared" si="58"/>
        <v>0</v>
      </c>
      <c r="S111" s="100">
        <f t="shared" si="58"/>
        <v>0</v>
      </c>
      <c r="T111" s="100">
        <f t="shared" si="58"/>
        <v>0</v>
      </c>
      <c r="U111" s="100">
        <f t="shared" si="58"/>
        <v>0</v>
      </c>
      <c r="V111" s="100">
        <f t="shared" si="58"/>
        <v>0</v>
      </c>
      <c r="W111" s="100">
        <f t="shared" si="58"/>
        <v>0</v>
      </c>
      <c r="X111" s="100">
        <f t="shared" si="58"/>
        <v>0</v>
      </c>
      <c r="Y111" s="100">
        <f t="shared" si="58"/>
        <v>0</v>
      </c>
      <c r="Z111" s="100">
        <f t="shared" si="58"/>
        <v>0</v>
      </c>
      <c r="AA111" s="100">
        <f t="shared" si="58"/>
        <v>0</v>
      </c>
      <c r="AB111" s="100">
        <f t="shared" si="58"/>
        <v>0</v>
      </c>
    </row>
    <row r="114" spans="3:39">
      <c r="C114" s="100">
        <f>'Simulazione 7.2'!E94</f>
        <v>-242.57532800822935</v>
      </c>
      <c r="D114" s="100">
        <f>'Simulazione 7.2'!F94</f>
        <v>-322.7475560164587</v>
      </c>
      <c r="E114" s="100">
        <f>'Simulazione 7.2'!G94</f>
        <v>-398.79590917468829</v>
      </c>
      <c r="F114" s="100">
        <f>'Simulazione 7.2'!H94</f>
        <v>-469.96212410839291</v>
      </c>
      <c r="G114" s="100">
        <f>'Simulazione 7.2'!I94</f>
        <v>-535.44829443269498</v>
      </c>
      <c r="H114" s="100">
        <f>'Simulazione 7.2'!J94</f>
        <v>-594.41459601010502</v>
      </c>
      <c r="I114" s="100">
        <f>'Simulazione 7.2'!K94</f>
        <v>-645.97688523883335</v>
      </c>
      <c r="J114" s="100">
        <f>'Simulazione 7.2'!L94</f>
        <v>-689.20416328455258</v>
      </c>
      <c r="K114" s="100">
        <f>'Simulazione 7.2'!M94</f>
        <v>-723.1158987735281</v>
      </c>
      <c r="L114" s="100">
        <f>'Simulazione 7.2'!N94</f>
        <v>-746.67920104806274</v>
      </c>
      <c r="M114" s="100">
        <f>'Simulazione 7.2'!O94</f>
        <v>-167.85550763677452</v>
      </c>
      <c r="N114" s="100">
        <f>'Simulazione 7.2'!P94</f>
        <v>723.55158282312107</v>
      </c>
      <c r="O114" s="100">
        <f>'Simulazione 7.2'!Q94</f>
        <v>1621.5971193195555</v>
      </c>
      <c r="P114" s="100">
        <f>'Simulazione 7.2'!R94</f>
        <v>2525.2453428920967</v>
      </c>
      <c r="Q114" s="100">
        <f>'Simulazione 7.2'!S94</f>
        <v>3434.8208463306792</v>
      </c>
      <c r="R114" s="100">
        <f>'Simulazione 7.2'!T94</f>
        <v>4350.6549334010942</v>
      </c>
      <c r="S114" s="100">
        <f>'Simulazione 7.2'!U94</f>
        <v>5273.0858058521171</v>
      </c>
      <c r="T114" s="100">
        <f>'Simulazione 7.2'!V94</f>
        <v>6202.4587550941851</v>
      </c>
      <c r="U114" s="100">
        <f>'Simulazione 7.2'!W94</f>
        <v>7139.1263586708128</v>
      </c>
      <c r="V114" s="100">
        <f>'Simulazione 7.2'!X94</f>
        <v>8083.4486816470089</v>
      </c>
    </row>
    <row r="117" spans="3:39">
      <c r="C117" s="6" t="s">
        <v>87</v>
      </c>
      <c r="D117" s="6" t="b">
        <f>AND(D76&gt;1,D76&lt;4)</f>
        <v>0</v>
      </c>
    </row>
    <row r="119" spans="3:39">
      <c r="D119" s="307" t="s">
        <v>125</v>
      </c>
      <c r="E119" s="307"/>
      <c r="F119" s="307"/>
      <c r="O119" s="6" t="s">
        <v>40</v>
      </c>
    </row>
    <row r="120" spans="3:39">
      <c r="D120" s="223"/>
      <c r="E120" s="223"/>
      <c r="F120" s="223"/>
      <c r="O120" s="6" t="s">
        <v>132</v>
      </c>
      <c r="Q120" s="222"/>
    </row>
    <row r="121" spans="3:39" ht="15.75" thickBot="1">
      <c r="O121" s="2" t="s">
        <v>224</v>
      </c>
    </row>
    <row r="122" spans="3:39">
      <c r="D122" s="23"/>
      <c r="E122" s="15"/>
      <c r="F122" s="301" t="s">
        <v>4</v>
      </c>
      <c r="G122" s="302"/>
      <c r="H122" s="107"/>
      <c r="I122" s="107"/>
      <c r="J122" s="108"/>
      <c r="K122" s="15"/>
      <c r="L122" s="301" t="s">
        <v>5</v>
      </c>
      <c r="M122" s="302"/>
      <c r="N122" s="2"/>
      <c r="O122" s="2" t="s">
        <v>222</v>
      </c>
    </row>
    <row r="123" spans="3:39">
      <c r="D123" s="22"/>
      <c r="E123" s="2"/>
      <c r="F123" s="5" t="s">
        <v>2</v>
      </c>
      <c r="G123" s="26" t="s">
        <v>3</v>
      </c>
      <c r="H123" s="107"/>
      <c r="I123" s="107"/>
      <c r="J123" s="109"/>
      <c r="K123" s="2"/>
      <c r="L123" s="5" t="s">
        <v>2</v>
      </c>
      <c r="M123" s="26" t="s">
        <v>3</v>
      </c>
      <c r="N123" s="27"/>
      <c r="O123" s="27" t="s">
        <v>223</v>
      </c>
    </row>
    <row r="124" spans="3:39">
      <c r="D124" s="22" t="b">
        <f>AND($D$1=1,$D$7=1,'Simulazione 7.2'!$C$3&lt;=3,'Simulazione 7.2'!$C$3&gt;=1)</f>
        <v>1</v>
      </c>
      <c r="E124" s="28" t="s">
        <v>6</v>
      </c>
      <c r="F124" s="5">
        <v>208</v>
      </c>
      <c r="G124" s="26">
        <f t="shared" ref="G124:G129" si="59">F124-82</f>
        <v>126</v>
      </c>
      <c r="H124" s="107">
        <f t="shared" ref="H124:H129" si="60">IF(D124=TRUE,(F124+L124)/2,0)</f>
        <v>204.5</v>
      </c>
      <c r="I124" s="107">
        <f t="shared" ref="I124:I129" si="61">IF(D124=TRUE,(G124+M124)/2,0)</f>
        <v>122.5</v>
      </c>
      <c r="J124" s="22"/>
      <c r="K124" s="28" t="s">
        <v>6</v>
      </c>
      <c r="L124" s="5">
        <v>201</v>
      </c>
      <c r="M124" s="26">
        <f t="shared" ref="M124:M129" si="62">L124-82</f>
        <v>119</v>
      </c>
      <c r="N124" s="5"/>
      <c r="O124" s="5">
        <v>4</v>
      </c>
    </row>
    <row r="125" spans="3:39">
      <c r="D125" s="22" t="b">
        <f>AND($D$1=1,$D$7=1,'Simulazione 7.2'!$C$3&lt;=20,'Simulazione 7.2'!$C$3&gt;3)</f>
        <v>0</v>
      </c>
      <c r="E125" s="28" t="s">
        <v>7</v>
      </c>
      <c r="F125" s="5">
        <v>196</v>
      </c>
      <c r="G125" s="26">
        <f t="shared" si="59"/>
        <v>114</v>
      </c>
      <c r="H125" s="107">
        <f t="shared" si="60"/>
        <v>0</v>
      </c>
      <c r="I125" s="107">
        <f t="shared" si="61"/>
        <v>0</v>
      </c>
      <c r="J125" s="22"/>
      <c r="K125" s="28" t="s">
        <v>7</v>
      </c>
      <c r="L125" s="5">
        <v>189</v>
      </c>
      <c r="M125" s="26">
        <f t="shared" si="62"/>
        <v>107</v>
      </c>
      <c r="N125" s="5"/>
      <c r="O125" s="5"/>
    </row>
    <row r="126" spans="3:39">
      <c r="D126" s="22" t="b">
        <f>AND($D$1=1,$D$7=1,'Simulazione 7.2'!$C$3&lt;=200,'Simulazione 7.2'!$C$3&gt;20)</f>
        <v>0</v>
      </c>
      <c r="E126" s="28" t="s">
        <v>8</v>
      </c>
      <c r="F126" s="5">
        <v>175</v>
      </c>
      <c r="G126" s="26">
        <f t="shared" si="59"/>
        <v>93</v>
      </c>
      <c r="H126" s="107">
        <f t="shared" si="60"/>
        <v>0</v>
      </c>
      <c r="I126" s="107">
        <f t="shared" si="61"/>
        <v>0</v>
      </c>
      <c r="J126" s="22"/>
      <c r="K126" s="28" t="s">
        <v>8</v>
      </c>
      <c r="L126" s="5">
        <v>168</v>
      </c>
      <c r="M126" s="26">
        <f t="shared" si="62"/>
        <v>86</v>
      </c>
      <c r="N126" s="259">
        <v>1</v>
      </c>
      <c r="O126" s="259">
        <v>2</v>
      </c>
      <c r="P126" s="259">
        <v>3</v>
      </c>
      <c r="Q126" s="259">
        <v>4</v>
      </c>
      <c r="R126" s="259">
        <v>5</v>
      </c>
      <c r="S126" s="259">
        <v>6</v>
      </c>
      <c r="T126" s="259">
        <v>7</v>
      </c>
      <c r="U126" s="259">
        <v>8</v>
      </c>
      <c r="V126" s="259">
        <v>9</v>
      </c>
      <c r="W126" s="259">
        <v>10</v>
      </c>
      <c r="X126" s="259">
        <v>11</v>
      </c>
      <c r="Y126" s="259">
        <v>12</v>
      </c>
      <c r="Z126" s="259">
        <v>13</v>
      </c>
      <c r="AA126" s="259">
        <v>14</v>
      </c>
      <c r="AB126" s="259">
        <v>15</v>
      </c>
      <c r="AC126" s="259">
        <v>16</v>
      </c>
      <c r="AD126" s="259">
        <v>17</v>
      </c>
      <c r="AE126" s="259">
        <v>18</v>
      </c>
      <c r="AF126" s="259">
        <v>19</v>
      </c>
      <c r="AG126" s="259">
        <v>20</v>
      </c>
      <c r="AH126" s="259">
        <v>21</v>
      </c>
      <c r="AI126" s="259">
        <v>22</v>
      </c>
      <c r="AJ126" s="259">
        <v>23</v>
      </c>
      <c r="AK126" s="259">
        <v>24</v>
      </c>
      <c r="AL126" s="259">
        <v>25</v>
      </c>
      <c r="AM126" s="216">
        <v>26</v>
      </c>
    </row>
    <row r="127" spans="3:39">
      <c r="D127" s="22" t="b">
        <f>AND($D$1=1,$D$7=1,'Simulazione 7.2'!$C$3&lt;=1000,'Simulazione 7.2'!$C$3&gt;200)</f>
        <v>0</v>
      </c>
      <c r="E127" s="28" t="s">
        <v>9</v>
      </c>
      <c r="F127" s="5">
        <v>142</v>
      </c>
      <c r="G127" s="26">
        <f t="shared" si="59"/>
        <v>60</v>
      </c>
      <c r="H127" s="107">
        <f t="shared" si="60"/>
        <v>0</v>
      </c>
      <c r="I127" s="107">
        <f t="shared" si="61"/>
        <v>0</v>
      </c>
      <c r="J127" s="22"/>
      <c r="K127" s="28" t="s">
        <v>9</v>
      </c>
      <c r="L127" s="5">
        <v>135</v>
      </c>
      <c r="M127" s="26">
        <f t="shared" si="62"/>
        <v>53</v>
      </c>
      <c r="N127" s="5"/>
      <c r="O127" s="217"/>
      <c r="P127" s="216"/>
      <c r="Q127" s="216">
        <f>IF($O$124=2,1,0)</f>
        <v>0</v>
      </c>
      <c r="R127" s="216"/>
      <c r="S127" s="216">
        <f>IF($O$124=3,1,0)</f>
        <v>0</v>
      </c>
      <c r="T127" s="216">
        <f>IF($O$124=2,1,0)</f>
        <v>0</v>
      </c>
      <c r="U127" s="216"/>
      <c r="V127" s="216"/>
      <c r="W127" s="216">
        <f>IF($O$124=2,1,0)</f>
        <v>0</v>
      </c>
      <c r="X127" s="216">
        <f>IF($O$124=3,1,0)</f>
        <v>0</v>
      </c>
      <c r="Y127" s="216"/>
      <c r="Z127" s="216">
        <f>IF($O$124=2,1,0)</f>
        <v>0</v>
      </c>
      <c r="AA127" s="216"/>
      <c r="AB127" s="216"/>
      <c r="AC127" s="216">
        <f>IF($O$124=2,1,0)</f>
        <v>0</v>
      </c>
      <c r="AD127" s="216"/>
      <c r="AE127" s="216"/>
      <c r="AF127" s="216">
        <f>IF($O$124=2,1,0)</f>
        <v>0</v>
      </c>
      <c r="AG127" s="216"/>
      <c r="AH127" s="216"/>
      <c r="AI127" s="216">
        <f>IF($O$124=2,1,0)</f>
        <v>0</v>
      </c>
      <c r="AJ127" s="216"/>
      <c r="AK127" s="216"/>
      <c r="AL127" s="216">
        <f>IF($O$124=2,1,0)</f>
        <v>0</v>
      </c>
      <c r="AM127" s="216"/>
    </row>
    <row r="128" spans="3:39">
      <c r="D128" s="22" t="b">
        <f>AND($D$1=1,$D$7=1,'Simulazione 7.2'!$C$3&lt;=5000,'Simulazione 7.2'!$C$3&gt;1000)</f>
        <v>0</v>
      </c>
      <c r="E128" s="28" t="s">
        <v>10</v>
      </c>
      <c r="F128" s="5">
        <v>126</v>
      </c>
      <c r="G128" s="26">
        <f t="shared" si="59"/>
        <v>44</v>
      </c>
      <c r="H128" s="107">
        <f t="shared" si="60"/>
        <v>0</v>
      </c>
      <c r="I128" s="107">
        <f t="shared" si="61"/>
        <v>0</v>
      </c>
      <c r="J128" s="22"/>
      <c r="K128" s="28" t="s">
        <v>10</v>
      </c>
      <c r="L128" s="5">
        <v>120</v>
      </c>
      <c r="M128" s="26">
        <f t="shared" si="62"/>
        <v>38</v>
      </c>
      <c r="N128" s="5"/>
      <c r="O128" s="5"/>
      <c r="X128" s="216">
        <f>IF($O$124=4,1,0)</f>
        <v>1</v>
      </c>
      <c r="AC128" s="216">
        <f>IF($O$124=3,1,0)</f>
        <v>0</v>
      </c>
      <c r="AH128" s="216">
        <f>IF($O$124=3,1,0)</f>
        <v>0</v>
      </c>
      <c r="AM128" s="216">
        <f>IF($O$124=3,1,0)</f>
        <v>0</v>
      </c>
    </row>
    <row r="129" spans="4:39" ht="15.75" thickBot="1">
      <c r="D129" s="29" t="b">
        <f>AND($D$1=1,$D$7=1,'Simulazione 7.2'!$C$3&gt;=5000)</f>
        <v>0</v>
      </c>
      <c r="E129" s="35" t="s">
        <v>11</v>
      </c>
      <c r="F129" s="36">
        <v>119</v>
      </c>
      <c r="G129" s="37">
        <f t="shared" si="59"/>
        <v>37</v>
      </c>
      <c r="H129" s="107">
        <f t="shared" si="60"/>
        <v>0</v>
      </c>
      <c r="I129" s="107">
        <f t="shared" si="61"/>
        <v>0</v>
      </c>
      <c r="J129" s="29"/>
      <c r="K129" s="35" t="s">
        <v>11</v>
      </c>
      <c r="L129" s="36">
        <v>113</v>
      </c>
      <c r="M129" s="37">
        <f t="shared" si="62"/>
        <v>31</v>
      </c>
      <c r="N129" s="5"/>
      <c r="O129" s="5"/>
      <c r="AH129" s="216">
        <f>IF($O$124=4,1,0)</f>
        <v>1</v>
      </c>
    </row>
    <row r="130" spans="4:39" ht="15.75" thickBot="1">
      <c r="F130" s="107"/>
      <c r="G130" s="107"/>
      <c r="H130" s="42">
        <f>IF($H$9=3,H124+H125+H126+H127+H128+H129,0)</f>
        <v>0</v>
      </c>
      <c r="I130" s="42">
        <f>IF($H$9=3,I124+I125+I126+I127+I128+I129,0)</f>
        <v>0</v>
      </c>
      <c r="K130" s="107"/>
      <c r="L130" s="107"/>
      <c r="M130" s="107"/>
      <c r="N130" s="5"/>
      <c r="O130" s="5"/>
    </row>
    <row r="131" spans="4:39">
      <c r="F131" s="107"/>
      <c r="G131" s="107"/>
      <c r="H131" s="5"/>
      <c r="I131" s="5"/>
      <c r="K131" s="107"/>
      <c r="L131" s="107"/>
      <c r="M131" s="107"/>
      <c r="N131" s="5"/>
      <c r="O131" s="5">
        <f>SUM(O127:O129)</f>
        <v>0</v>
      </c>
      <c r="P131" s="217">
        <f t="shared" ref="P131:AM131" si="63">SUM(P127:P129)</f>
        <v>0</v>
      </c>
      <c r="Q131" s="217">
        <f t="shared" si="63"/>
        <v>0</v>
      </c>
      <c r="R131" s="217">
        <f t="shared" si="63"/>
        <v>0</v>
      </c>
      <c r="S131" s="217">
        <f t="shared" si="63"/>
        <v>0</v>
      </c>
      <c r="T131" s="217">
        <f t="shared" si="63"/>
        <v>0</v>
      </c>
      <c r="U131" s="217">
        <f t="shared" si="63"/>
        <v>0</v>
      </c>
      <c r="V131" s="217">
        <f t="shared" si="63"/>
        <v>0</v>
      </c>
      <c r="W131" s="217">
        <f t="shared" si="63"/>
        <v>0</v>
      </c>
      <c r="X131" s="217">
        <f t="shared" si="63"/>
        <v>1</v>
      </c>
      <c r="Y131" s="217">
        <f t="shared" si="63"/>
        <v>0</v>
      </c>
      <c r="Z131" s="217">
        <f t="shared" si="63"/>
        <v>0</v>
      </c>
      <c r="AA131" s="217">
        <f t="shared" si="63"/>
        <v>0</v>
      </c>
      <c r="AB131" s="217">
        <f t="shared" si="63"/>
        <v>0</v>
      </c>
      <c r="AC131" s="217">
        <f t="shared" si="63"/>
        <v>0</v>
      </c>
      <c r="AD131" s="217">
        <f t="shared" si="63"/>
        <v>0</v>
      </c>
      <c r="AE131" s="217">
        <f t="shared" si="63"/>
        <v>0</v>
      </c>
      <c r="AF131" s="217">
        <f t="shared" si="63"/>
        <v>0</v>
      </c>
      <c r="AG131" s="217">
        <f t="shared" si="63"/>
        <v>0</v>
      </c>
      <c r="AH131" s="217">
        <f t="shared" si="63"/>
        <v>1</v>
      </c>
      <c r="AI131" s="217">
        <f t="shared" si="63"/>
        <v>0</v>
      </c>
      <c r="AJ131" s="217">
        <f t="shared" si="63"/>
        <v>0</v>
      </c>
      <c r="AK131" s="217">
        <f t="shared" si="63"/>
        <v>0</v>
      </c>
      <c r="AL131" s="217">
        <f t="shared" si="63"/>
        <v>0</v>
      </c>
      <c r="AM131" s="217">
        <f t="shared" si="63"/>
        <v>0</v>
      </c>
    </row>
    <row r="132" spans="4:39" ht="15.75" thickBot="1">
      <c r="F132" s="299"/>
      <c r="G132" s="299"/>
      <c r="H132" s="107"/>
      <c r="I132" s="107"/>
      <c r="K132" s="107"/>
      <c r="L132" s="299"/>
      <c r="M132" s="299"/>
      <c r="N132" s="5"/>
      <c r="O132" s="5"/>
    </row>
    <row r="133" spans="4:39" ht="15.75">
      <c r="D133" s="83"/>
      <c r="E133" s="84"/>
      <c r="F133" s="85" t="s">
        <v>2</v>
      </c>
      <c r="G133" s="86" t="s">
        <v>3</v>
      </c>
      <c r="H133" s="49"/>
      <c r="I133" s="49"/>
      <c r="J133" s="83"/>
      <c r="K133" s="84"/>
      <c r="L133" s="85" t="s">
        <v>2</v>
      </c>
      <c r="M133" s="86" t="s">
        <v>3</v>
      </c>
      <c r="N133" s="47"/>
      <c r="O133" s="47"/>
    </row>
    <row r="134" spans="4:39" ht="15.75">
      <c r="D134" s="22" t="b">
        <f>AND($D$1=2,$D$7=1,'Simulazione 7.2'!$C$3&lt;=3,'Simulazione 7.2'!$C$3&gt;=1)</f>
        <v>0</v>
      </c>
      <c r="E134" s="28" t="s">
        <v>6</v>
      </c>
      <c r="F134" s="51">
        <v>182</v>
      </c>
      <c r="G134" s="52">
        <f t="shared" ref="G134:G139" si="64">F134-82</f>
        <v>100</v>
      </c>
      <c r="H134" s="107">
        <f t="shared" ref="H134:H139" si="65">IF(D134=TRUE,(F134+L134)/2,0)</f>
        <v>0</v>
      </c>
      <c r="I134" s="107">
        <f t="shared" ref="I134:I139" si="66">IF(D134=TRUE,(G134+M134)/2,0)</f>
        <v>0</v>
      </c>
      <c r="J134" s="22"/>
      <c r="K134" s="28" t="s">
        <v>6</v>
      </c>
      <c r="L134" s="51">
        <v>176</v>
      </c>
      <c r="M134" s="52">
        <f t="shared" ref="M134:M139" si="67">L134-82</f>
        <v>94</v>
      </c>
      <c r="N134" s="5"/>
      <c r="O134" s="5"/>
    </row>
    <row r="135" spans="4:39" ht="15.75">
      <c r="D135" s="22" t="b">
        <f>AND($D$1=2,$D$7=1,'Simulazione 7.2'!$C$3&lt;=20,'Simulazione 7.2'!$C$3&gt;3)</f>
        <v>0</v>
      </c>
      <c r="E135" s="28" t="s">
        <v>7</v>
      </c>
      <c r="F135" s="51">
        <v>171</v>
      </c>
      <c r="G135" s="52">
        <f t="shared" si="64"/>
        <v>89</v>
      </c>
      <c r="H135" s="107">
        <f t="shared" si="65"/>
        <v>0</v>
      </c>
      <c r="I135" s="107">
        <f t="shared" si="66"/>
        <v>0</v>
      </c>
      <c r="J135" s="22"/>
      <c r="K135" s="28" t="s">
        <v>7</v>
      </c>
      <c r="L135" s="51">
        <v>165</v>
      </c>
      <c r="M135" s="52">
        <f t="shared" si="67"/>
        <v>83</v>
      </c>
      <c r="N135" s="5"/>
      <c r="O135" s="5"/>
    </row>
    <row r="136" spans="4:39" ht="15.75">
      <c r="D136" s="22" t="b">
        <f>AND($D$1=2,$D$7=1,'Simulazione 7.2'!$C$3&lt;=200,'Simulazione 7.2'!$C$3&gt;20)</f>
        <v>0</v>
      </c>
      <c r="E136" s="28" t="s">
        <v>8</v>
      </c>
      <c r="F136" s="51">
        <v>157</v>
      </c>
      <c r="G136" s="52">
        <f t="shared" si="64"/>
        <v>75</v>
      </c>
      <c r="H136" s="107">
        <f t="shared" si="65"/>
        <v>0</v>
      </c>
      <c r="I136" s="107">
        <f t="shared" si="66"/>
        <v>0</v>
      </c>
      <c r="J136" s="22"/>
      <c r="K136" s="28" t="s">
        <v>8</v>
      </c>
      <c r="L136" s="51">
        <v>151</v>
      </c>
      <c r="M136" s="52">
        <f t="shared" si="67"/>
        <v>69</v>
      </c>
      <c r="N136" s="5"/>
      <c r="O136" s="5"/>
    </row>
    <row r="137" spans="4:39" ht="15.75">
      <c r="D137" s="22" t="b">
        <f>AND($D$1=2,$D$7=1,'Simulazione 7.2'!$C$3&lt;=1000,'Simulazione 7.2'!$C$3&gt;200)</f>
        <v>0</v>
      </c>
      <c r="E137" s="28" t="s">
        <v>9</v>
      </c>
      <c r="F137" s="47">
        <v>130</v>
      </c>
      <c r="G137" s="48">
        <f t="shared" si="64"/>
        <v>48</v>
      </c>
      <c r="H137" s="107">
        <f t="shared" si="65"/>
        <v>0</v>
      </c>
      <c r="I137" s="107">
        <f t="shared" si="66"/>
        <v>0</v>
      </c>
      <c r="J137" s="22"/>
      <c r="K137" s="28" t="s">
        <v>9</v>
      </c>
      <c r="L137" s="47">
        <v>124</v>
      </c>
      <c r="M137" s="48">
        <f t="shared" si="67"/>
        <v>42</v>
      </c>
      <c r="N137" s="5"/>
      <c r="O137" s="5"/>
    </row>
    <row r="138" spans="4:39" ht="15.75">
      <c r="D138" s="22" t="b">
        <f>AND($D$1=2,$D$7=1,'Simulazione 7.2'!$C$3&lt;=5000,'Simulazione 7.2'!$C$3&gt;1000)</f>
        <v>0</v>
      </c>
      <c r="E138" s="28" t="s">
        <v>10</v>
      </c>
      <c r="F138" s="51">
        <v>118</v>
      </c>
      <c r="G138" s="52">
        <f t="shared" si="64"/>
        <v>36</v>
      </c>
      <c r="H138" s="107">
        <f t="shared" si="65"/>
        <v>0</v>
      </c>
      <c r="I138" s="107">
        <f t="shared" si="66"/>
        <v>0</v>
      </c>
      <c r="J138" s="22"/>
      <c r="K138" s="28" t="s">
        <v>10</v>
      </c>
      <c r="L138" s="51">
        <v>113</v>
      </c>
      <c r="M138" s="52">
        <f t="shared" si="67"/>
        <v>31</v>
      </c>
      <c r="N138" s="5"/>
      <c r="O138" s="5"/>
    </row>
    <row r="139" spans="4:39" ht="16.5" thickBot="1">
      <c r="D139" s="29" t="b">
        <f>AND($D$1=2,$D$7=1,'Simulazione 7.2'!$C$3&gt;=5000)</f>
        <v>0</v>
      </c>
      <c r="E139" s="35" t="s">
        <v>11</v>
      </c>
      <c r="F139" s="57">
        <v>112</v>
      </c>
      <c r="G139" s="58">
        <f t="shared" si="64"/>
        <v>30</v>
      </c>
      <c r="H139" s="107">
        <f t="shared" si="65"/>
        <v>0</v>
      </c>
      <c r="I139" s="107">
        <f t="shared" si="66"/>
        <v>0</v>
      </c>
      <c r="J139" s="29"/>
      <c r="K139" s="35" t="s">
        <v>11</v>
      </c>
      <c r="L139" s="57">
        <v>106</v>
      </c>
      <c r="M139" s="58">
        <f t="shared" si="67"/>
        <v>24</v>
      </c>
      <c r="N139" s="5"/>
      <c r="O139" s="5"/>
    </row>
    <row r="140" spans="4:39" ht="16.5" thickBot="1">
      <c r="D140" s="50"/>
      <c r="E140" s="50"/>
      <c r="F140" s="53"/>
      <c r="G140" s="53"/>
      <c r="H140" s="42">
        <f>IF($H$9=3,H134+H135+H136+H137+H138+H139,0)</f>
        <v>0</v>
      </c>
      <c r="I140" s="42">
        <f>IF($H$9=3,I134+I135+I136+I137+I138+I139,0)</f>
        <v>0</v>
      </c>
      <c r="J140" s="50"/>
      <c r="K140" s="53"/>
      <c r="L140" s="53"/>
      <c r="M140" s="53"/>
      <c r="N140" s="51"/>
      <c r="O140" s="51"/>
    </row>
    <row r="141" spans="4:39" ht="15.7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11"/>
      <c r="O141" s="11"/>
    </row>
    <row r="142" spans="4:39" ht="16.5" thickBot="1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11"/>
      <c r="O142" s="11"/>
    </row>
    <row r="143" spans="4:39" ht="15.75">
      <c r="D143" s="83"/>
      <c r="E143" s="84"/>
      <c r="F143" s="85" t="s">
        <v>2</v>
      </c>
      <c r="G143" s="86" t="s">
        <v>3</v>
      </c>
      <c r="H143" s="49"/>
      <c r="I143" s="49"/>
      <c r="J143" s="83"/>
      <c r="K143" s="84"/>
      <c r="L143" s="85" t="s">
        <v>2</v>
      </c>
      <c r="M143" s="86" t="s">
        <v>3</v>
      </c>
      <c r="N143" s="47"/>
      <c r="O143" s="47"/>
    </row>
    <row r="144" spans="4:39" ht="15.75">
      <c r="D144" s="22" t="b">
        <f>AND($D$1=3,$D$7=1,'Simulazione 7.2'!$C$3&lt;=3,'Simulazione 7.2'!$C$3&gt;=1)</f>
        <v>0</v>
      </c>
      <c r="E144" s="28" t="s">
        <v>6</v>
      </c>
      <c r="F144" s="51">
        <v>157</v>
      </c>
      <c r="G144" s="52">
        <f t="shared" ref="G144:G149" si="68">F144-82</f>
        <v>75</v>
      </c>
      <c r="H144" s="107">
        <f t="shared" ref="H144:H149" si="69">IF(D144=TRUE,(F144+L144)/2,0)</f>
        <v>0</v>
      </c>
      <c r="I144" s="107">
        <f t="shared" ref="I144:I149" si="70">IF(D144=TRUE,(G144+M144)/2,0)</f>
        <v>0</v>
      </c>
      <c r="J144" s="22"/>
      <c r="K144" s="28" t="s">
        <v>6</v>
      </c>
      <c r="L144" s="51">
        <v>152</v>
      </c>
      <c r="M144" s="52">
        <f t="shared" ref="M144:M149" si="71">L144-82</f>
        <v>70</v>
      </c>
      <c r="N144" s="5"/>
      <c r="O144" s="5"/>
    </row>
    <row r="145" spans="4:15" ht="15.75">
      <c r="D145" s="22" t="b">
        <f>AND($D$1=3,$D$7=1,'Simulazione 7.2'!$C$3&lt;=20,'Simulazione 7.2'!$C$3&gt;3)</f>
        <v>0</v>
      </c>
      <c r="E145" s="28" t="s">
        <v>7</v>
      </c>
      <c r="F145" s="51">
        <v>149</v>
      </c>
      <c r="G145" s="52">
        <f t="shared" si="68"/>
        <v>67</v>
      </c>
      <c r="H145" s="107">
        <f t="shared" si="69"/>
        <v>0</v>
      </c>
      <c r="I145" s="107">
        <f t="shared" si="70"/>
        <v>0</v>
      </c>
      <c r="J145" s="22"/>
      <c r="K145" s="28" t="s">
        <v>7</v>
      </c>
      <c r="L145" s="51">
        <v>144</v>
      </c>
      <c r="M145" s="52">
        <f t="shared" si="71"/>
        <v>62</v>
      </c>
      <c r="N145" s="5"/>
      <c r="O145" s="5"/>
    </row>
    <row r="146" spans="4:15" ht="15.75">
      <c r="D146" s="22" t="b">
        <f>AND($D$1=3,$D$7=1,'Simulazione 7.2'!$C$3&lt;=200,'Simulazione 7.2'!$C$3&gt;20)</f>
        <v>0</v>
      </c>
      <c r="E146" s="28" t="s">
        <v>8</v>
      </c>
      <c r="F146" s="51">
        <v>141</v>
      </c>
      <c r="G146" s="52">
        <f t="shared" si="68"/>
        <v>59</v>
      </c>
      <c r="H146" s="107">
        <f t="shared" si="69"/>
        <v>0</v>
      </c>
      <c r="I146" s="107">
        <f t="shared" si="70"/>
        <v>0</v>
      </c>
      <c r="J146" s="22"/>
      <c r="K146" s="28" t="s">
        <v>8</v>
      </c>
      <c r="L146" s="51">
        <v>136</v>
      </c>
      <c r="M146" s="52">
        <f t="shared" si="71"/>
        <v>54</v>
      </c>
      <c r="N146" s="5"/>
      <c r="O146" s="5"/>
    </row>
    <row r="147" spans="4:15" ht="15.75">
      <c r="D147" s="22" t="b">
        <f>AND($D$1=3,$D$7=1,'Simulazione 7.2'!$C$3&lt;=1000,'Simulazione 7.2'!$C$3&gt;200)</f>
        <v>0</v>
      </c>
      <c r="E147" s="28" t="s">
        <v>9</v>
      </c>
      <c r="F147" s="47">
        <v>118</v>
      </c>
      <c r="G147" s="48">
        <f t="shared" si="68"/>
        <v>36</v>
      </c>
      <c r="H147" s="107">
        <f t="shared" si="69"/>
        <v>0</v>
      </c>
      <c r="I147" s="107">
        <f t="shared" si="70"/>
        <v>0</v>
      </c>
      <c r="J147" s="22"/>
      <c r="K147" s="28" t="s">
        <v>9</v>
      </c>
      <c r="L147" s="47">
        <v>113</v>
      </c>
      <c r="M147" s="48">
        <f t="shared" si="71"/>
        <v>31</v>
      </c>
      <c r="N147" s="5"/>
      <c r="O147" s="5"/>
    </row>
    <row r="148" spans="4:15" ht="15.75">
      <c r="D148" s="22" t="b">
        <f>AND($D$1=3,$D$7=1,'Simulazione 7.2'!$C$3&lt;=5000,'Simulazione 7.2'!$C$3&gt;1000)</f>
        <v>0</v>
      </c>
      <c r="E148" s="28" t="s">
        <v>10</v>
      </c>
      <c r="F148" s="51">
        <v>110</v>
      </c>
      <c r="G148" s="52">
        <f t="shared" si="68"/>
        <v>28</v>
      </c>
      <c r="H148" s="107">
        <f t="shared" si="69"/>
        <v>0</v>
      </c>
      <c r="I148" s="107">
        <f t="shared" si="70"/>
        <v>0</v>
      </c>
      <c r="J148" s="22"/>
      <c r="K148" s="28" t="s">
        <v>10</v>
      </c>
      <c r="L148" s="51">
        <v>106</v>
      </c>
      <c r="M148" s="52">
        <f t="shared" si="71"/>
        <v>24</v>
      </c>
      <c r="N148" s="5"/>
      <c r="O148" s="5"/>
    </row>
    <row r="149" spans="4:15" ht="16.5" thickBot="1">
      <c r="D149" s="29" t="b">
        <f>AND($D$1=3,$D$7=1,'Simulazione 7.2'!$C$3&gt;=5000)</f>
        <v>0</v>
      </c>
      <c r="E149" s="35" t="s">
        <v>11</v>
      </c>
      <c r="F149" s="57">
        <v>104</v>
      </c>
      <c r="G149" s="58">
        <f t="shared" si="68"/>
        <v>22</v>
      </c>
      <c r="H149" s="107">
        <f t="shared" si="69"/>
        <v>0</v>
      </c>
      <c r="I149" s="107">
        <f t="shared" si="70"/>
        <v>0</v>
      </c>
      <c r="J149" s="29"/>
      <c r="K149" s="35" t="s">
        <v>11</v>
      </c>
      <c r="L149" s="57">
        <v>99</v>
      </c>
      <c r="M149" s="58">
        <f t="shared" si="71"/>
        <v>17</v>
      </c>
      <c r="N149" s="5"/>
      <c r="O149" s="5"/>
    </row>
    <row r="150" spans="4:15" ht="16.5" thickBot="1">
      <c r="D150" s="50"/>
      <c r="E150" s="50"/>
      <c r="F150" s="53"/>
      <c r="G150" s="53"/>
      <c r="H150" s="42">
        <f>IF($H$9=3,H144+H145+H146+H147+H148+H149,0)</f>
        <v>0</v>
      </c>
      <c r="I150" s="42">
        <f>IF($H$9=3,I144+I145+I146+I147+I148+I149,0)</f>
        <v>0</v>
      </c>
      <c r="J150" s="50"/>
      <c r="K150" s="53"/>
      <c r="L150" s="53"/>
      <c r="M150" s="53"/>
      <c r="N150" s="51"/>
      <c r="O150" s="51"/>
    </row>
    <row r="151" spans="4:15">
      <c r="D151" s="2"/>
      <c r="E151" s="2"/>
      <c r="F151" s="5"/>
      <c r="G151" s="5"/>
      <c r="H151" s="5"/>
      <c r="I151" s="5"/>
      <c r="J151" s="2"/>
      <c r="K151" s="5"/>
      <c r="L151" s="5"/>
      <c r="M151" s="5"/>
      <c r="N151" s="5"/>
      <c r="O151" s="5"/>
    </row>
    <row r="152" spans="4:15">
      <c r="N152" s="2"/>
      <c r="O152" s="2"/>
    </row>
    <row r="153" spans="4:15">
      <c r="N153" s="2"/>
      <c r="O153" s="2"/>
    </row>
    <row r="154" spans="4:15" ht="15.75" thickBot="1">
      <c r="N154" s="2"/>
      <c r="O154" s="2"/>
    </row>
    <row r="155" spans="4:15" ht="15.75">
      <c r="D155" s="83"/>
      <c r="E155" s="84"/>
      <c r="F155" s="85" t="s">
        <v>2</v>
      </c>
      <c r="G155" s="86" t="s">
        <v>3</v>
      </c>
      <c r="H155" s="49"/>
      <c r="I155" s="49"/>
      <c r="J155" s="83"/>
      <c r="K155" s="84"/>
      <c r="L155" s="85" t="s">
        <v>2</v>
      </c>
      <c r="M155" s="86" t="s">
        <v>3</v>
      </c>
      <c r="N155" s="47"/>
      <c r="O155" s="47"/>
    </row>
    <row r="156" spans="4:15" ht="15.75">
      <c r="D156" s="22" t="b">
        <f>AND($D$1=4,$D$7=1,'Simulazione 7.2'!$C$3&lt;=3,'Simulazione 7.2'!$C$3&gt;=1)</f>
        <v>0</v>
      </c>
      <c r="E156" s="28" t="s">
        <v>6</v>
      </c>
      <c r="F156" s="51">
        <v>144</v>
      </c>
      <c r="G156" s="52">
        <f t="shared" ref="G156:G161" si="72">F156-82</f>
        <v>62</v>
      </c>
      <c r="H156" s="107">
        <f t="shared" ref="H156:H161" si="73">IF(D156=TRUE,(F156+L156)/2,0)</f>
        <v>0</v>
      </c>
      <c r="I156" s="107">
        <f t="shared" ref="I156:I161" si="74">IF(D156=TRUE,(G156+M156)/2,0)</f>
        <v>0</v>
      </c>
      <c r="J156" s="22"/>
      <c r="K156" s="28" t="s">
        <v>6</v>
      </c>
      <c r="L156" s="51">
        <v>140</v>
      </c>
      <c r="M156" s="52">
        <f t="shared" ref="M156:M161" si="75">L156-82</f>
        <v>58</v>
      </c>
      <c r="N156" s="5"/>
      <c r="O156" s="5"/>
    </row>
    <row r="157" spans="4:15" ht="15.75">
      <c r="D157" s="22" t="b">
        <f>AND($D$1=4,$D$7=1,'Simulazione 7.2'!$C$3&lt;=20,'Simulazione 7.2'!$C$3&gt;3)</f>
        <v>0</v>
      </c>
      <c r="E157" s="28" t="s">
        <v>7</v>
      </c>
      <c r="F157" s="51">
        <v>137</v>
      </c>
      <c r="G157" s="52">
        <f t="shared" si="72"/>
        <v>55</v>
      </c>
      <c r="H157" s="107">
        <f t="shared" si="73"/>
        <v>0</v>
      </c>
      <c r="I157" s="107">
        <f t="shared" si="74"/>
        <v>0</v>
      </c>
      <c r="J157" s="22"/>
      <c r="K157" s="28" t="s">
        <v>7</v>
      </c>
      <c r="L157" s="51">
        <v>133</v>
      </c>
      <c r="M157" s="52">
        <f t="shared" si="75"/>
        <v>51</v>
      </c>
      <c r="N157" s="5"/>
      <c r="O157" s="5"/>
    </row>
    <row r="158" spans="4:15" ht="15.75">
      <c r="D158" s="22" t="b">
        <f>AND($D$1=4,$D$7=1,'Simulazione 7.2'!$C$3&lt;=200,'Simulazione 7.2'!$C$3&gt;20)</f>
        <v>0</v>
      </c>
      <c r="E158" s="28" t="s">
        <v>8</v>
      </c>
      <c r="F158" s="51">
        <v>131</v>
      </c>
      <c r="G158" s="52">
        <f t="shared" si="72"/>
        <v>49</v>
      </c>
      <c r="H158" s="107">
        <f t="shared" si="73"/>
        <v>0</v>
      </c>
      <c r="I158" s="107">
        <f t="shared" si="74"/>
        <v>0</v>
      </c>
      <c r="J158" s="22"/>
      <c r="K158" s="28" t="s">
        <v>8</v>
      </c>
      <c r="L158" s="51">
        <v>126</v>
      </c>
      <c r="M158" s="52">
        <f t="shared" si="75"/>
        <v>44</v>
      </c>
      <c r="N158" s="5"/>
      <c r="O158" s="5"/>
    </row>
    <row r="159" spans="4:15" ht="15.75">
      <c r="D159" s="22" t="b">
        <f>AND($D$1=4,$D$7=1,'Simulazione 7.2'!$C$3&lt;=1000,'Simulazione 7.2'!$C$3&gt;200)</f>
        <v>0</v>
      </c>
      <c r="E159" s="28" t="s">
        <v>9</v>
      </c>
      <c r="F159" s="47">
        <v>111</v>
      </c>
      <c r="G159" s="48">
        <f t="shared" si="72"/>
        <v>29</v>
      </c>
      <c r="H159" s="107">
        <f t="shared" si="73"/>
        <v>0</v>
      </c>
      <c r="I159" s="107">
        <f t="shared" si="74"/>
        <v>0</v>
      </c>
      <c r="J159" s="22"/>
      <c r="K159" s="28" t="s">
        <v>9</v>
      </c>
      <c r="L159" s="47">
        <v>107</v>
      </c>
      <c r="M159" s="48">
        <f t="shared" si="75"/>
        <v>25</v>
      </c>
      <c r="N159" s="5"/>
      <c r="O159" s="5"/>
    </row>
    <row r="160" spans="4:15" ht="15.75">
      <c r="D160" s="22" t="b">
        <f>AND($D$1=4,$D$7=1,'Simulazione 7.2'!$C$3&lt;=5000,'Simulazione 7.2'!$C$3&gt;1000)</f>
        <v>0</v>
      </c>
      <c r="E160" s="28" t="s">
        <v>10</v>
      </c>
      <c r="F160" s="51">
        <v>105</v>
      </c>
      <c r="G160" s="52">
        <f t="shared" si="72"/>
        <v>23</v>
      </c>
      <c r="H160" s="107">
        <f t="shared" si="73"/>
        <v>0</v>
      </c>
      <c r="I160" s="107">
        <f t="shared" si="74"/>
        <v>0</v>
      </c>
      <c r="J160" s="22"/>
      <c r="K160" s="28" t="s">
        <v>10</v>
      </c>
      <c r="L160" s="51">
        <v>101</v>
      </c>
      <c r="M160" s="52">
        <f t="shared" si="75"/>
        <v>19</v>
      </c>
      <c r="N160" s="5"/>
      <c r="O160" s="5"/>
    </row>
    <row r="161" spans="4:15" ht="16.5" thickBot="1">
      <c r="D161" s="29" t="b">
        <f>AND($D$1=4,$D$7=1,'Simulazione 7.2'!$C$3&gt;=5000)</f>
        <v>0</v>
      </c>
      <c r="E161" s="35" t="s">
        <v>11</v>
      </c>
      <c r="F161" s="57">
        <v>99</v>
      </c>
      <c r="G161" s="58">
        <f t="shared" si="72"/>
        <v>17</v>
      </c>
      <c r="H161" s="107">
        <f t="shared" si="73"/>
        <v>0</v>
      </c>
      <c r="I161" s="107">
        <f t="shared" si="74"/>
        <v>0</v>
      </c>
      <c r="J161" s="29"/>
      <c r="K161" s="35" t="s">
        <v>11</v>
      </c>
      <c r="L161" s="57">
        <v>95</v>
      </c>
      <c r="M161" s="58">
        <f t="shared" si="75"/>
        <v>13</v>
      </c>
      <c r="N161" s="5"/>
      <c r="O161" s="5"/>
    </row>
    <row r="162" spans="4:15" ht="16.5" thickBot="1">
      <c r="D162" s="50"/>
      <c r="E162" s="50"/>
      <c r="F162" s="53"/>
      <c r="G162" s="53"/>
      <c r="H162" s="42">
        <f>IF($H$9=3,H156+H157+H158+H159+H160+H161,0)</f>
        <v>0</v>
      </c>
      <c r="I162" s="42">
        <f>IF($H$9=3,I156+I157+I158+I159+I160+I161,0)</f>
        <v>0</v>
      </c>
      <c r="J162" s="50"/>
      <c r="K162" s="53"/>
      <c r="L162" s="53"/>
      <c r="M162" s="53"/>
      <c r="N162" s="51"/>
      <c r="O162" s="51"/>
    </row>
    <row r="163" spans="4:15">
      <c r="D163" s="2"/>
      <c r="E163" s="28"/>
      <c r="F163" s="5"/>
      <c r="G163" s="5"/>
      <c r="H163" s="5"/>
      <c r="I163" s="5"/>
      <c r="J163" s="2"/>
      <c r="K163" s="28"/>
      <c r="L163" s="5"/>
      <c r="M163" s="5"/>
      <c r="N163" s="5"/>
      <c r="O163" s="5"/>
    </row>
    <row r="164" spans="4:15">
      <c r="D164" s="2"/>
      <c r="E164" s="28"/>
      <c r="F164" s="5"/>
      <c r="G164" s="5"/>
      <c r="H164" s="5"/>
      <c r="I164" s="5"/>
      <c r="J164" s="2"/>
      <c r="K164" s="28"/>
      <c r="L164" s="5"/>
      <c r="M164" s="5"/>
      <c r="N164" s="5"/>
      <c r="O164" s="5"/>
    </row>
    <row r="165" spans="4:15">
      <c r="D165" s="2"/>
      <c r="E165" s="2"/>
      <c r="F165" s="5"/>
      <c r="G165" s="5"/>
      <c r="H165" s="5"/>
      <c r="I165" s="5"/>
      <c r="J165" s="2"/>
      <c r="K165" s="5"/>
      <c r="L165" s="5"/>
      <c r="M165" s="5"/>
      <c r="N165" s="5"/>
      <c r="O165" s="5"/>
    </row>
    <row r="166" spans="4:1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4:15">
      <c r="N167" s="2"/>
      <c r="O167" s="2"/>
    </row>
    <row r="168" spans="4:15" ht="15.75" thickBot="1">
      <c r="N168" s="2"/>
      <c r="O168" s="2"/>
    </row>
    <row r="169" spans="4:15" ht="15.75">
      <c r="D169" s="83"/>
      <c r="E169" s="84"/>
      <c r="F169" s="85" t="s">
        <v>2</v>
      </c>
      <c r="G169" s="86" t="s">
        <v>3</v>
      </c>
      <c r="H169" s="49"/>
      <c r="I169" s="49"/>
      <c r="J169" s="83"/>
      <c r="K169" s="84"/>
      <c r="L169" s="85" t="s">
        <v>2</v>
      </c>
      <c r="M169" s="86" t="s">
        <v>3</v>
      </c>
      <c r="N169" s="47"/>
      <c r="O169" s="47"/>
    </row>
    <row r="170" spans="4:15" ht="15.75">
      <c r="D170" s="22" t="b">
        <f>AND($D$1=5,$D$7=1,'Simulazione 7.2'!$C$3&lt;=3,'Simulazione 7.2'!$C$3&gt;=1)</f>
        <v>0</v>
      </c>
      <c r="E170" s="28" t="s">
        <v>6</v>
      </c>
      <c r="F170" s="51">
        <v>133</v>
      </c>
      <c r="G170" s="52">
        <f t="shared" ref="G170:G175" si="76">F170-82</f>
        <v>51</v>
      </c>
      <c r="H170" s="53">
        <f t="shared" ref="H170:H175" si="77">IF(D170=TRUE,F170,0)</f>
        <v>0</v>
      </c>
      <c r="I170" s="107">
        <f t="shared" ref="I170:I175" si="78">IF(D170=TRUE,(G170+M170)/2,0)</f>
        <v>0</v>
      </c>
      <c r="J170" s="22"/>
      <c r="K170" s="28" t="s">
        <v>6</v>
      </c>
      <c r="L170" s="51">
        <v>130</v>
      </c>
      <c r="M170" s="52">
        <f t="shared" ref="M170:M175" si="79">L170-82</f>
        <v>48</v>
      </c>
      <c r="N170" s="5"/>
      <c r="O170" s="5"/>
    </row>
    <row r="171" spans="4:15" ht="15.75">
      <c r="D171" s="22" t="b">
        <f>AND($D$1=5,$D$7=1,'Simulazione 7.2'!$C$3&lt;=20,'Simulazione 7.2'!$C$3&gt;3)</f>
        <v>0</v>
      </c>
      <c r="E171" s="28" t="s">
        <v>7</v>
      </c>
      <c r="F171" s="51">
        <v>128</v>
      </c>
      <c r="G171" s="52">
        <f t="shared" si="76"/>
        <v>46</v>
      </c>
      <c r="H171" s="53">
        <f t="shared" si="77"/>
        <v>0</v>
      </c>
      <c r="I171" s="107">
        <f t="shared" si="78"/>
        <v>0</v>
      </c>
      <c r="J171" s="22"/>
      <c r="K171" s="28" t="s">
        <v>7</v>
      </c>
      <c r="L171" s="51">
        <v>124</v>
      </c>
      <c r="M171" s="52">
        <f t="shared" si="79"/>
        <v>42</v>
      </c>
      <c r="N171" s="5"/>
      <c r="O171" s="5"/>
    </row>
    <row r="172" spans="4:15" ht="15.75">
      <c r="D172" s="22" t="b">
        <f>AND($D$1=5,$D$7=1,'Simulazione 7.2'!$C$3&lt;=200,'Simulazione 7.2'!$C$3&gt;20)</f>
        <v>0</v>
      </c>
      <c r="E172" s="28" t="s">
        <v>8</v>
      </c>
      <c r="F172" s="51">
        <v>122</v>
      </c>
      <c r="G172" s="52">
        <f t="shared" si="76"/>
        <v>40</v>
      </c>
      <c r="H172" s="53">
        <f t="shared" si="77"/>
        <v>0</v>
      </c>
      <c r="I172" s="107">
        <f t="shared" si="78"/>
        <v>0</v>
      </c>
      <c r="J172" s="22"/>
      <c r="K172" s="28" t="s">
        <v>8</v>
      </c>
      <c r="L172" s="51">
        <v>118</v>
      </c>
      <c r="M172" s="52">
        <f t="shared" si="79"/>
        <v>36</v>
      </c>
      <c r="N172" s="5"/>
      <c r="O172" s="5"/>
    </row>
    <row r="173" spans="4:15" ht="15.75">
      <c r="D173" s="22" t="b">
        <f>AND($D$1=5,$D$7=1,'Simulazione 7.2'!$C$3&lt;=1000,'Simulazione 7.2'!$C$3&gt;200)</f>
        <v>0</v>
      </c>
      <c r="E173" s="28" t="s">
        <v>9</v>
      </c>
      <c r="F173" s="47">
        <v>106</v>
      </c>
      <c r="G173" s="48">
        <f t="shared" si="76"/>
        <v>24</v>
      </c>
      <c r="H173" s="49">
        <f t="shared" si="77"/>
        <v>0</v>
      </c>
      <c r="I173" s="107">
        <f t="shared" si="78"/>
        <v>0</v>
      </c>
      <c r="J173" s="22"/>
      <c r="K173" s="28" t="s">
        <v>9</v>
      </c>
      <c r="L173" s="47">
        <v>102</v>
      </c>
      <c r="M173" s="48">
        <f t="shared" si="79"/>
        <v>20</v>
      </c>
      <c r="N173" s="5"/>
      <c r="O173" s="5"/>
    </row>
    <row r="174" spans="4:15" ht="15.75">
      <c r="D174" s="22" t="b">
        <f>AND($D$1=5,$D$7=1,'Simulazione 7.2'!$C$3&lt;=5000,'Simulazione 7.2'!$C$3&gt;1000)</f>
        <v>0</v>
      </c>
      <c r="E174" s="28" t="s">
        <v>10</v>
      </c>
      <c r="F174" s="51">
        <v>100</v>
      </c>
      <c r="G174" s="52">
        <f t="shared" si="76"/>
        <v>18</v>
      </c>
      <c r="H174" s="53">
        <f t="shared" si="77"/>
        <v>0</v>
      </c>
      <c r="I174" s="107">
        <f t="shared" si="78"/>
        <v>0</v>
      </c>
      <c r="J174" s="22"/>
      <c r="K174" s="28" t="s">
        <v>10</v>
      </c>
      <c r="L174" s="51">
        <v>97</v>
      </c>
      <c r="M174" s="52">
        <f t="shared" si="79"/>
        <v>15</v>
      </c>
      <c r="N174" s="5"/>
      <c r="O174" s="5"/>
    </row>
    <row r="175" spans="4:15" ht="16.5" thickBot="1">
      <c r="D175" s="29" t="b">
        <f>AND($D$1=5,$D$7=1,'Simulazione 7.2'!$C$3&gt;=5000)</f>
        <v>0</v>
      </c>
      <c r="E175" s="35" t="s">
        <v>11</v>
      </c>
      <c r="F175" s="57">
        <v>95</v>
      </c>
      <c r="G175" s="58">
        <f t="shared" si="76"/>
        <v>13</v>
      </c>
      <c r="H175" s="53">
        <f t="shared" si="77"/>
        <v>0</v>
      </c>
      <c r="I175" s="107">
        <f t="shared" si="78"/>
        <v>0</v>
      </c>
      <c r="J175" s="29"/>
      <c r="K175" s="35" t="s">
        <v>11</v>
      </c>
      <c r="L175" s="57">
        <v>92</v>
      </c>
      <c r="M175" s="58">
        <f t="shared" si="79"/>
        <v>10</v>
      </c>
      <c r="N175" s="5"/>
      <c r="O175" s="5"/>
    </row>
    <row r="176" spans="4:15" ht="16.5" thickBot="1">
      <c r="D176" s="50"/>
      <c r="E176" s="50"/>
      <c r="F176" s="53"/>
      <c r="G176" s="53"/>
      <c r="H176" s="42">
        <f>IF($H$9=3,H170+H171+H172+H173+H174+H175,0)</f>
        <v>0</v>
      </c>
      <c r="I176" s="42">
        <f>IF($H$9=3,I170+I171+I172+I173+I174+I175,0)</f>
        <v>0</v>
      </c>
      <c r="J176" s="53"/>
      <c r="K176" s="53"/>
      <c r="L176" s="53"/>
      <c r="M176" s="53"/>
      <c r="N176" s="51"/>
      <c r="O176" s="51"/>
    </row>
    <row r="177" spans="4:15">
      <c r="N177" s="2"/>
      <c r="O177" s="2"/>
    </row>
    <row r="178" spans="4:15">
      <c r="N178" s="2"/>
      <c r="O178" s="2"/>
    </row>
    <row r="179" spans="4:15">
      <c r="N179" s="2"/>
      <c r="O179" s="2"/>
    </row>
    <row r="180" spans="4:15">
      <c r="D180" s="307" t="s">
        <v>124</v>
      </c>
      <c r="E180" s="307"/>
      <c r="F180" s="307"/>
      <c r="N180" s="2"/>
      <c r="O180" s="2"/>
    </row>
    <row r="181" spans="4:15">
      <c r="N181" s="2"/>
      <c r="O181" s="2"/>
    </row>
    <row r="182" spans="4:15" ht="15.75" thickBot="1">
      <c r="J182" s="2"/>
      <c r="K182" s="2"/>
      <c r="L182" s="2"/>
      <c r="M182" s="2"/>
      <c r="N182" s="2"/>
      <c r="O182" s="2"/>
    </row>
    <row r="183" spans="4:15">
      <c r="D183" s="23"/>
      <c r="E183" s="15"/>
      <c r="F183" s="301" t="s">
        <v>4</v>
      </c>
      <c r="G183" s="302"/>
      <c r="H183" s="107"/>
      <c r="I183" s="107"/>
      <c r="J183" s="5"/>
      <c r="K183" s="2"/>
      <c r="L183" s="306"/>
      <c r="M183" s="306"/>
      <c r="N183" s="2"/>
      <c r="O183" s="2"/>
    </row>
    <row r="184" spans="4:15">
      <c r="D184" s="22"/>
      <c r="E184" s="2"/>
      <c r="F184" s="5" t="s">
        <v>2</v>
      </c>
      <c r="G184" s="26" t="s">
        <v>3</v>
      </c>
      <c r="H184" s="107"/>
      <c r="I184" s="107"/>
      <c r="J184" s="5"/>
      <c r="K184" s="2"/>
      <c r="L184" s="5"/>
      <c r="M184" s="5"/>
      <c r="N184" s="2"/>
      <c r="O184" s="2"/>
    </row>
    <row r="185" spans="4:15">
      <c r="D185" s="22" t="b">
        <f>AND($D$1=1,'Simulazione 7.2'!$C$3&lt;=20,'Simulazione 7.2'!$C$3&gt;=1)</f>
        <v>1</v>
      </c>
      <c r="E185" s="28" t="s">
        <v>126</v>
      </c>
      <c r="F185" s="5">
        <v>288</v>
      </c>
      <c r="G185" s="26">
        <v>186</v>
      </c>
      <c r="H185" s="107">
        <f>IF(D185=TRUE,F185,0)</f>
        <v>288</v>
      </c>
      <c r="I185" s="107">
        <f>IF(D185=TRUE,G185,0)</f>
        <v>186</v>
      </c>
      <c r="J185" s="2"/>
      <c r="K185" s="28"/>
      <c r="L185" s="5"/>
      <c r="M185" s="5"/>
      <c r="N185" s="2"/>
      <c r="O185" s="2"/>
    </row>
    <row r="186" spans="4:15">
      <c r="D186" s="22" t="b">
        <f>AND($D$1=1,'Simulazione 7.2'!$C$3&lt;=200,'Simulazione 7.2'!$C$3&gt;20)</f>
        <v>0</v>
      </c>
      <c r="E186" s="28" t="s">
        <v>8</v>
      </c>
      <c r="F186" s="5">
        <v>276</v>
      </c>
      <c r="G186" s="26">
        <v>174</v>
      </c>
      <c r="H186" s="107">
        <f t="shared" ref="H186:H187" si="80">IF(D186=TRUE,F186,0)</f>
        <v>0</v>
      </c>
      <c r="I186" s="107">
        <f>IF(D186=TRUE,G186,0)</f>
        <v>0</v>
      </c>
      <c r="J186" s="2"/>
      <c r="K186" s="28"/>
      <c r="L186" s="5"/>
      <c r="M186" s="5"/>
      <c r="N186" s="2"/>
      <c r="O186" s="2"/>
    </row>
    <row r="187" spans="4:15" ht="15.75" thickBot="1">
      <c r="D187" s="29" t="b">
        <f>AND($D$1=1,'Simulazione 7.2'!$C$3&gt;200)</f>
        <v>0</v>
      </c>
      <c r="E187" s="35" t="s">
        <v>127</v>
      </c>
      <c r="F187" s="36">
        <v>255</v>
      </c>
      <c r="G187" s="37">
        <v>153</v>
      </c>
      <c r="H187" s="107">
        <f t="shared" si="80"/>
        <v>0</v>
      </c>
      <c r="I187" s="107">
        <f>IF(D187=TRUE,G187,0)</f>
        <v>0</v>
      </c>
      <c r="J187" s="2"/>
      <c r="K187" s="28"/>
      <c r="L187" s="5"/>
      <c r="M187" s="5"/>
      <c r="N187" s="2"/>
      <c r="O187" s="2"/>
    </row>
    <row r="188" spans="4:15" ht="15.75" thickBot="1">
      <c r="F188" s="107"/>
      <c r="G188" s="107"/>
      <c r="H188" s="42">
        <f>IF($H$9=2,H185+H186+H187,0)</f>
        <v>0</v>
      </c>
      <c r="I188" s="42">
        <f>IF($H$9=2,I185+I186+I187,0)</f>
        <v>0</v>
      </c>
      <c r="J188" s="2"/>
      <c r="K188" s="5"/>
      <c r="L188" s="5"/>
      <c r="M188" s="5"/>
      <c r="N188" s="2"/>
      <c r="O188" s="2"/>
    </row>
    <row r="189" spans="4:15" ht="15.75" thickBot="1">
      <c r="J189" s="2"/>
      <c r="K189" s="2"/>
      <c r="L189" s="2"/>
      <c r="M189" s="2"/>
      <c r="N189" s="2"/>
      <c r="O189" s="2"/>
    </row>
    <row r="190" spans="4:15">
      <c r="D190" s="23"/>
      <c r="E190" s="15"/>
      <c r="F190" s="301" t="s">
        <v>4</v>
      </c>
      <c r="G190" s="302"/>
      <c r="H190" s="107"/>
      <c r="I190" s="107"/>
      <c r="J190" s="2"/>
      <c r="K190" s="2"/>
      <c r="L190" s="2"/>
      <c r="M190" s="2"/>
      <c r="N190" s="2"/>
      <c r="O190" s="2"/>
    </row>
    <row r="191" spans="4:15">
      <c r="D191" s="22"/>
      <c r="E191" s="2"/>
      <c r="F191" s="5" t="s">
        <v>2</v>
      </c>
      <c r="G191" s="26" t="s">
        <v>3</v>
      </c>
      <c r="H191" s="107"/>
      <c r="I191" s="107"/>
      <c r="J191" s="2"/>
      <c r="K191" s="2"/>
      <c r="L191" s="2"/>
      <c r="M191" s="2"/>
      <c r="N191" s="2"/>
      <c r="O191" s="2"/>
    </row>
    <row r="192" spans="4:15">
      <c r="D192" s="22" t="b">
        <f>AND($D$1=2,'Simulazione 7.2'!$C$3&lt;=20,'Simulazione 7.2'!$C$3&gt;=1)</f>
        <v>0</v>
      </c>
      <c r="E192" s="28" t="s">
        <v>126</v>
      </c>
      <c r="F192" s="5">
        <v>242</v>
      </c>
      <c r="G192" s="26">
        <v>160</v>
      </c>
      <c r="H192" s="107">
        <f t="shared" ref="H192:H194" si="81">IF(D192=TRUE,F192,0)</f>
        <v>0</v>
      </c>
      <c r="I192" s="107">
        <f t="shared" ref="I192:I194" si="82">IF(D192=TRUE,G192,0)</f>
        <v>0</v>
      </c>
      <c r="J192" s="2"/>
      <c r="K192" s="2"/>
      <c r="L192" s="2"/>
      <c r="M192" s="2"/>
      <c r="N192" s="2"/>
      <c r="O192" s="2"/>
    </row>
    <row r="193" spans="4:15">
      <c r="D193" s="22" t="b">
        <f>AND($D$1=2,'Simulazione 7.2'!$C$3&lt;=200,'Simulazione 7.2'!$C$3&gt;20)</f>
        <v>0</v>
      </c>
      <c r="E193" s="28" t="s">
        <v>8</v>
      </c>
      <c r="F193" s="5">
        <v>231</v>
      </c>
      <c r="G193" s="26">
        <v>149</v>
      </c>
      <c r="H193" s="107">
        <f t="shared" si="81"/>
        <v>0</v>
      </c>
      <c r="I193" s="107">
        <f t="shared" si="82"/>
        <v>0</v>
      </c>
      <c r="J193" s="2"/>
      <c r="K193" s="2"/>
      <c r="L193" s="2"/>
      <c r="M193" s="2"/>
      <c r="N193" s="2"/>
      <c r="O193" s="2"/>
    </row>
    <row r="194" spans="4:15" ht="15.75" thickBot="1">
      <c r="D194" s="29" t="b">
        <f>AND($D$1=2,'Simulazione 7.2'!$C$3&gt;200)</f>
        <v>0</v>
      </c>
      <c r="E194" s="35" t="s">
        <v>127</v>
      </c>
      <c r="F194" s="36">
        <v>217</v>
      </c>
      <c r="G194" s="37">
        <v>135</v>
      </c>
      <c r="H194" s="107">
        <f t="shared" si="81"/>
        <v>0</v>
      </c>
      <c r="I194" s="107">
        <f t="shared" si="82"/>
        <v>0</v>
      </c>
      <c r="J194" s="2"/>
      <c r="K194" s="2"/>
      <c r="L194" s="2"/>
      <c r="M194" s="2"/>
      <c r="N194" s="2"/>
      <c r="O194" s="2"/>
    </row>
    <row r="195" spans="4:15" ht="15.75" thickBot="1">
      <c r="F195" s="107"/>
      <c r="G195" s="107"/>
      <c r="H195" s="42">
        <f>IF($H$9=2,H192+H193+H194,0)</f>
        <v>0</v>
      </c>
      <c r="I195" s="42">
        <f>IF($H$9=2,I192+I193+I194,0)</f>
        <v>0</v>
      </c>
      <c r="N195" s="2"/>
      <c r="O195" s="2"/>
    </row>
    <row r="196" spans="4:15">
      <c r="N196" s="2"/>
      <c r="O196" s="2"/>
    </row>
    <row r="197" spans="4:15" ht="15.75" thickBot="1">
      <c r="N197" s="2"/>
      <c r="O197" s="2"/>
    </row>
    <row r="198" spans="4:15">
      <c r="D198" s="23"/>
      <c r="E198" s="15"/>
      <c r="F198" s="301" t="s">
        <v>4</v>
      </c>
      <c r="G198" s="302"/>
      <c r="H198" s="107"/>
      <c r="I198" s="107"/>
      <c r="N198" s="2"/>
      <c r="O198" s="2"/>
    </row>
    <row r="199" spans="4:15">
      <c r="D199" s="22"/>
      <c r="E199" s="2"/>
      <c r="F199" s="5" t="s">
        <v>2</v>
      </c>
      <c r="G199" s="26" t="s">
        <v>3</v>
      </c>
      <c r="H199" s="107"/>
      <c r="I199" s="107"/>
    </row>
    <row r="200" spans="4:15">
      <c r="D200" s="22" t="b">
        <f>AND($D$1=3,'Simulazione 7.2'!$C$3&lt;=20,'Simulazione 7.2'!$C$3&gt;=1)</f>
        <v>0</v>
      </c>
      <c r="E200" s="28" t="s">
        <v>126</v>
      </c>
      <c r="F200" s="5">
        <v>218</v>
      </c>
      <c r="G200" s="26">
        <v>144</v>
      </c>
      <c r="H200" s="107">
        <f t="shared" ref="H200:H202" si="83">IF(D200=TRUE,F200,0)</f>
        <v>0</v>
      </c>
      <c r="I200" s="107">
        <f t="shared" ref="I200:I201" si="84">IF(D200=TRUE,G200,0)</f>
        <v>0</v>
      </c>
    </row>
    <row r="201" spans="4:15">
      <c r="D201" s="22" t="b">
        <f>AND($D$1=3,'Simulazione 7.2'!$C$3&lt;=200,'Simulazione 7.2'!$C$3&gt;20)</f>
        <v>0</v>
      </c>
      <c r="E201" s="28" t="s">
        <v>8</v>
      </c>
      <c r="F201" s="5">
        <v>208</v>
      </c>
      <c r="G201" s="26">
        <v>134</v>
      </c>
      <c r="H201" s="107">
        <f t="shared" si="83"/>
        <v>0</v>
      </c>
      <c r="I201" s="107">
        <f t="shared" si="84"/>
        <v>0</v>
      </c>
    </row>
    <row r="202" spans="4:15" ht="15.75" thickBot="1">
      <c r="D202" s="29" t="b">
        <f>AND($D$1=3,'Simulazione 7.2'!$C$3&gt;200)</f>
        <v>0</v>
      </c>
      <c r="E202" s="35" t="s">
        <v>127</v>
      </c>
      <c r="F202" s="36">
        <v>195</v>
      </c>
      <c r="G202" s="37">
        <v>121</v>
      </c>
      <c r="H202" s="107">
        <f t="shared" si="83"/>
        <v>0</v>
      </c>
      <c r="I202" s="107">
        <f>IF(D202=TRUE,(G202+M202)/2,0)</f>
        <v>0</v>
      </c>
    </row>
    <row r="203" spans="4:15" ht="15.75" thickBot="1">
      <c r="F203" s="107"/>
      <c r="G203" s="107"/>
      <c r="H203" s="42">
        <f>IF($H$9=2,H200+H201+H202,0)</f>
        <v>0</v>
      </c>
      <c r="I203" s="42">
        <f>IF($H$9=2,I200+I201+I202,0)</f>
        <v>0</v>
      </c>
    </row>
    <row r="205" spans="4:15" ht="15.75" thickBot="1"/>
    <row r="206" spans="4:15">
      <c r="D206" s="23"/>
      <c r="E206" s="15"/>
      <c r="F206" s="301" t="s">
        <v>4</v>
      </c>
      <c r="G206" s="302"/>
      <c r="H206" s="107"/>
      <c r="I206" s="107"/>
    </row>
    <row r="207" spans="4:15">
      <c r="D207" s="22"/>
      <c r="E207" s="2"/>
      <c r="F207" s="5" t="s">
        <v>2</v>
      </c>
      <c r="G207" s="26" t="s">
        <v>3</v>
      </c>
      <c r="H207" s="107"/>
      <c r="I207" s="107"/>
    </row>
    <row r="208" spans="4:15">
      <c r="D208" s="22" t="b">
        <f>AND($D$1=4,'Simulazione 7.2'!$C$3&lt;=20,'Simulazione 7.2'!$C$3&gt;=1)</f>
        <v>0</v>
      </c>
      <c r="E208" s="28" t="s">
        <v>126</v>
      </c>
      <c r="F208" s="5">
        <v>196</v>
      </c>
      <c r="G208" s="26">
        <v>130</v>
      </c>
      <c r="H208" s="107">
        <f t="shared" ref="H208:H210" si="85">IF(D208=TRUE,F208,0)</f>
        <v>0</v>
      </c>
      <c r="I208" s="107">
        <f t="shared" ref="I208:I210" si="86">IF(D208=TRUE,G208,0)</f>
        <v>0</v>
      </c>
    </row>
    <row r="209" spans="2:28">
      <c r="D209" s="22" t="b">
        <f>AND($D$1=4,'Simulazione 7.2'!$C$3&lt;=200,'Simulazione 7.2'!$C$3&gt;20)</f>
        <v>0</v>
      </c>
      <c r="E209" s="28" t="s">
        <v>8</v>
      </c>
      <c r="F209" s="5">
        <v>187</v>
      </c>
      <c r="G209" s="26">
        <v>121</v>
      </c>
      <c r="H209" s="107">
        <f t="shared" si="85"/>
        <v>0</v>
      </c>
      <c r="I209" s="107">
        <f t="shared" si="86"/>
        <v>0</v>
      </c>
    </row>
    <row r="210" spans="2:28" ht="15.75" thickBot="1">
      <c r="D210" s="29" t="b">
        <f>AND($D$1=4,'Simulazione 7.2'!$C$3&gt;200)</f>
        <v>0</v>
      </c>
      <c r="E210" s="35" t="s">
        <v>127</v>
      </c>
      <c r="F210" s="36">
        <v>176</v>
      </c>
      <c r="G210" s="37">
        <v>109</v>
      </c>
      <c r="H210" s="107">
        <f t="shared" si="85"/>
        <v>0</v>
      </c>
      <c r="I210" s="107">
        <f t="shared" si="86"/>
        <v>0</v>
      </c>
    </row>
    <row r="211" spans="2:28" ht="15.75" thickBot="1">
      <c r="F211" s="107"/>
      <c r="G211" s="107"/>
      <c r="H211" s="42">
        <f>IF($H$9=2,H208+H209+H210,0)</f>
        <v>0</v>
      </c>
      <c r="I211" s="42">
        <f>IF($H$9=2,I208+I209+I210,0)</f>
        <v>0</v>
      </c>
    </row>
    <row r="213" spans="2:28" ht="15.75" thickBot="1"/>
    <row r="214" spans="2:28">
      <c r="D214" s="23"/>
      <c r="E214" s="15"/>
      <c r="F214" s="301" t="s">
        <v>4</v>
      </c>
      <c r="G214" s="302"/>
      <c r="H214" s="107"/>
      <c r="I214" s="107"/>
    </row>
    <row r="215" spans="2:28">
      <c r="D215" s="22"/>
      <c r="E215" s="2"/>
      <c r="F215" s="5" t="s">
        <v>2</v>
      </c>
      <c r="G215" s="26" t="s">
        <v>3</v>
      </c>
      <c r="H215" s="107"/>
      <c r="I215" s="107"/>
    </row>
    <row r="216" spans="2:28">
      <c r="D216" s="22" t="b">
        <f>AND($D$1=5,'Simulazione 7.2'!$C$3&lt;=20,'Simulazione 7.2'!$C$3&gt;=1)</f>
        <v>0</v>
      </c>
      <c r="E216" s="28" t="s">
        <v>126</v>
      </c>
      <c r="F216" s="5">
        <v>176</v>
      </c>
      <c r="G216" s="26">
        <v>117</v>
      </c>
      <c r="H216" s="107">
        <f t="shared" ref="H216:H218" si="87">IF(D216=TRUE,F216,0)</f>
        <v>0</v>
      </c>
      <c r="I216" s="107">
        <f t="shared" ref="I216:I218" si="88">IF(D216=TRUE,G216,0)</f>
        <v>0</v>
      </c>
    </row>
    <row r="217" spans="2:28">
      <c r="D217" s="22" t="b">
        <f>AND($D$1=5,'Simulazione 7.2'!$C$3&lt;=200,'Simulazione 7.2'!$C$3&gt;20)</f>
        <v>0</v>
      </c>
      <c r="E217" s="28" t="s">
        <v>8</v>
      </c>
      <c r="F217" s="5">
        <v>169</v>
      </c>
      <c r="G217" s="26">
        <v>109</v>
      </c>
      <c r="H217" s="107">
        <f t="shared" si="87"/>
        <v>0</v>
      </c>
      <c r="I217" s="107">
        <f t="shared" si="88"/>
        <v>0</v>
      </c>
    </row>
    <row r="218" spans="2:28" ht="15.75" thickBot="1">
      <c r="D218" s="29" t="b">
        <f>AND($D$1=5,'Simulazione 7.2'!$C$3&gt;200)</f>
        <v>0</v>
      </c>
      <c r="E218" s="35" t="s">
        <v>127</v>
      </c>
      <c r="F218" s="36">
        <v>158</v>
      </c>
      <c r="G218" s="37">
        <v>98</v>
      </c>
      <c r="H218" s="107">
        <f t="shared" si="87"/>
        <v>0</v>
      </c>
      <c r="I218" s="107">
        <f t="shared" si="88"/>
        <v>0</v>
      </c>
    </row>
    <row r="219" spans="2:28" ht="15.75" thickBot="1">
      <c r="F219" s="107"/>
      <c r="G219" s="107"/>
      <c r="H219" s="42">
        <f>IF($H$9=2,H216+H217+H218,0)</f>
        <v>0</v>
      </c>
      <c r="I219" s="42">
        <f>IF($H$9=2,I216+I217+I218,0)</f>
        <v>0</v>
      </c>
    </row>
    <row r="221" spans="2:28">
      <c r="B221" s="6" t="s">
        <v>183</v>
      </c>
    </row>
    <row r="222" spans="2:28">
      <c r="W222" s="100">
        <v>20</v>
      </c>
      <c r="X222" s="100">
        <v>21</v>
      </c>
      <c r="Y222" s="100">
        <v>22</v>
      </c>
      <c r="Z222" s="100">
        <v>23</v>
      </c>
      <c r="AA222" s="100">
        <v>24</v>
      </c>
      <c r="AB222" s="100">
        <v>25</v>
      </c>
    </row>
    <row r="223" spans="2:28">
      <c r="B223" s="6" t="s">
        <v>182</v>
      </c>
      <c r="D223" s="166">
        <f>'Simulazione 7.2'!E63</f>
        <v>3450</v>
      </c>
      <c r="E223" s="100">
        <f>'Simulazione 7.2'!F63</f>
        <v>3418.95</v>
      </c>
      <c r="F223" s="100">
        <f>'Simulazione 7.2'!G63</f>
        <v>3388.1794499999992</v>
      </c>
      <c r="G223" s="100">
        <f>'Simulazione 7.2'!H63</f>
        <v>3357.6858349499989</v>
      </c>
      <c r="H223" s="100">
        <f>'Simulazione 7.2'!I63</f>
        <v>3327.4666624354486</v>
      </c>
      <c r="I223" s="100">
        <f>'Simulazione 7.2'!J63</f>
        <v>3297.5194624735295</v>
      </c>
      <c r="J223" s="100">
        <f>'Simulazione 7.2'!K63</f>
        <v>3267.8417873112676</v>
      </c>
      <c r="K223" s="100">
        <f>'Simulazione 7.2'!L63</f>
        <v>3238.4312112254661</v>
      </c>
      <c r="L223" s="100">
        <f>'Simulazione 7.2'!M63</f>
        <v>3209.2853303244369</v>
      </c>
      <c r="M223" s="100">
        <f>'Simulazione 7.2'!N63</f>
        <v>3180.4017623515165</v>
      </c>
      <c r="N223" s="100">
        <f>'Simulazione 7.2'!O63</f>
        <v>3151.7781464903528</v>
      </c>
      <c r="O223" s="100">
        <f>'Simulazione 7.2'!P63</f>
        <v>3123.4121431719395</v>
      </c>
      <c r="P223" s="100">
        <f>'Simulazione 7.2'!Q63</f>
        <v>3095.3014338833918</v>
      </c>
      <c r="Q223" s="100">
        <f>'Simulazione 7.2'!R63</f>
        <v>3067.443720978441</v>
      </c>
      <c r="R223" s="100">
        <f>'Simulazione 7.2'!S63</f>
        <v>3039.836727489635</v>
      </c>
      <c r="S223" s="100">
        <f>'Simulazione 7.2'!T63</f>
        <v>3012.4781969422284</v>
      </c>
      <c r="T223" s="100">
        <f>'Simulazione 7.2'!U63</f>
        <v>2985.3658931697482</v>
      </c>
      <c r="U223" s="100">
        <f>'Simulazione 7.2'!V63</f>
        <v>2958.4976001312202</v>
      </c>
      <c r="V223" s="100">
        <f>'Simulazione 7.2'!W63</f>
        <v>2931.8711217300392</v>
      </c>
      <c r="W223" s="100">
        <f>'Simulazione 7.2'!X63</f>
        <v>2905.484281634469</v>
      </c>
      <c r="X223" s="100">
        <f>'Simulazione 7.2'!Y63</f>
        <v>2879.3349230997583</v>
      </c>
      <c r="Y223" s="100">
        <f>'Simulazione 7.2'!Z63</f>
        <v>2853.4209087918603</v>
      </c>
      <c r="Z223" s="100">
        <f>'Simulazione 7.2'!AA63</f>
        <v>2827.7401206127333</v>
      </c>
      <c r="AA223" s="100">
        <f>'Simulazione 7.2'!AB63</f>
        <v>2802.2904595272184</v>
      </c>
      <c r="AB223" s="100">
        <f>'Simulazione 7.2'!AC63</f>
        <v>2777.0698453914733</v>
      </c>
    </row>
    <row r="224" spans="2:28">
      <c r="B224" s="6" t="s">
        <v>184</v>
      </c>
      <c r="D224" s="157">
        <f>'Simulazione 7.2'!C31</f>
        <v>2500</v>
      </c>
      <c r="E224" s="100">
        <f>D224+(Calcoli!D224/100*'Simulazione 7.2'!$C$47)</f>
        <v>2550</v>
      </c>
      <c r="F224" s="100">
        <f>E224+(Calcoli!E224/100*'Simulazione 7.2'!$C$47)</f>
        <v>2601</v>
      </c>
      <c r="G224" s="100">
        <f>F224+(Calcoli!F224/100*'Simulazione 7.2'!$C$47)</f>
        <v>2653.02</v>
      </c>
      <c r="H224" s="100">
        <f>G224+(Calcoli!G224/100*'Simulazione 7.2'!$C$47)</f>
        <v>2706.0803999999998</v>
      </c>
      <c r="I224" s="100">
        <f>H224+(Calcoli!H224/100*'Simulazione 7.2'!$C$47)</f>
        <v>2760.2020079999998</v>
      </c>
      <c r="J224" s="100">
        <f>I224+(Calcoli!I224/100*'Simulazione 7.2'!$C$47)</f>
        <v>2815.40604816</v>
      </c>
      <c r="K224" s="100">
        <f>J224+(Calcoli!J224/100*'Simulazione 7.2'!$C$47)</f>
        <v>2871.7141691232</v>
      </c>
      <c r="L224" s="100">
        <f>K224+(Calcoli!K224/100*'Simulazione 7.2'!$C$47)</f>
        <v>2929.148452505664</v>
      </c>
      <c r="M224" s="100">
        <f>L224+(Calcoli!L224/100*'Simulazione 7.2'!$C$47)</f>
        <v>2987.7314215557772</v>
      </c>
      <c r="N224" s="100">
        <f>M224+(Calcoli!M224/100*'Simulazione 7.2'!$C$47)</f>
        <v>3047.4860499868928</v>
      </c>
      <c r="O224" s="100">
        <f>N224+(Calcoli!N224/100*'Simulazione 7.2'!$C$47)</f>
        <v>3108.4357709866308</v>
      </c>
      <c r="P224" s="100">
        <f>O224+(Calcoli!O224/100*'Simulazione 7.2'!$C$47)</f>
        <v>3170.6044864063633</v>
      </c>
      <c r="Q224" s="100">
        <f>P224+(Calcoli!P224/100*'Simulazione 7.2'!$C$47)</f>
        <v>3234.0165761344906</v>
      </c>
      <c r="R224" s="100">
        <f>Q224+(Calcoli!Q224/100*'Simulazione 7.2'!$C$47)</f>
        <v>3298.6969076571804</v>
      </c>
      <c r="S224" s="100">
        <f>R224+(Calcoli!R224/100*'Simulazione 7.2'!$C$47)</f>
        <v>3364.670845810324</v>
      </c>
      <c r="T224" s="100">
        <f>S224+(Calcoli!S224/100*'Simulazione 7.2'!$C$47)</f>
        <v>3431.9642627265303</v>
      </c>
      <c r="U224" s="100">
        <f>T224+(Calcoli!T224/100*'Simulazione 7.2'!$C$47)</f>
        <v>3500.6035479810607</v>
      </c>
      <c r="V224" s="100">
        <f>U224+(Calcoli!U224/100*'Simulazione 7.2'!$C$47)</f>
        <v>3570.615618940682</v>
      </c>
      <c r="W224" s="100">
        <f>V224+(Calcoli!V224/100*'Simulazione 7.2'!$C$47)</f>
        <v>3642.0279313194956</v>
      </c>
      <c r="X224" s="100">
        <f>W224+(Calcoli!W224/100*'Simulazione 7.2'!$C$47)</f>
        <v>3714.8684899458854</v>
      </c>
      <c r="Y224" s="100">
        <f>X224+(Calcoli!X224/100*'Simulazione 7.2'!$C$47)</f>
        <v>3789.1658597448031</v>
      </c>
      <c r="Z224" s="100">
        <f>Y224+(Calcoli!Y224/100*'Simulazione 7.2'!$C$47)</f>
        <v>3864.9491769396991</v>
      </c>
      <c r="AA224" s="100">
        <f>Z224+(Calcoli!Z224/100*'Simulazione 7.2'!$C$47)</f>
        <v>3942.248160478493</v>
      </c>
      <c r="AB224" s="100">
        <f>AA224+(Calcoli!AA224/100*'Simulazione 7.2'!$C$47)</f>
        <v>4021.0931236880629</v>
      </c>
    </row>
    <row r="225" spans="2:41">
      <c r="B225" s="6" t="s">
        <v>169</v>
      </c>
      <c r="D225" s="100">
        <f>IF(D224&gt;D223,D223/100*$S$41,D224/100*$S$41)</f>
        <v>1250</v>
      </c>
      <c r="E225" s="100">
        <f t="shared" ref="E225:AB225" si="89">IF(E224&gt;E223,E223/100*$S$41,E224/100*$S$41)</f>
        <v>1275</v>
      </c>
      <c r="F225" s="100">
        <f t="shared" si="89"/>
        <v>1300.5</v>
      </c>
      <c r="G225" s="100">
        <f t="shared" si="89"/>
        <v>1326.51</v>
      </c>
      <c r="H225" s="100">
        <f t="shared" si="89"/>
        <v>1353.0401999999999</v>
      </c>
      <c r="I225" s="100">
        <f t="shared" si="89"/>
        <v>1380.1010039999999</v>
      </c>
      <c r="J225" s="100">
        <f t="shared" si="89"/>
        <v>1407.70302408</v>
      </c>
      <c r="K225" s="100">
        <f t="shared" si="89"/>
        <v>1435.8570845616</v>
      </c>
      <c r="L225" s="100">
        <f t="shared" si="89"/>
        <v>1464.574226252832</v>
      </c>
      <c r="M225" s="100">
        <f t="shared" si="89"/>
        <v>1493.8657107778886</v>
      </c>
      <c r="N225" s="100">
        <f t="shared" si="89"/>
        <v>1523.7430249934464</v>
      </c>
      <c r="O225" s="100">
        <f t="shared" si="89"/>
        <v>1554.2178854933154</v>
      </c>
      <c r="P225" s="100">
        <f t="shared" si="89"/>
        <v>1547.6507169416959</v>
      </c>
      <c r="Q225" s="100">
        <f t="shared" si="89"/>
        <v>1533.7218604892205</v>
      </c>
      <c r="R225" s="100">
        <f t="shared" si="89"/>
        <v>1519.9183637448175</v>
      </c>
      <c r="S225" s="100">
        <f t="shared" si="89"/>
        <v>1506.2390984711142</v>
      </c>
      <c r="T225" s="100">
        <f t="shared" si="89"/>
        <v>1492.6829465848741</v>
      </c>
      <c r="U225" s="100">
        <f t="shared" si="89"/>
        <v>1479.2488000656101</v>
      </c>
      <c r="V225" s="100">
        <f t="shared" si="89"/>
        <v>1465.9355608650196</v>
      </c>
      <c r="W225" s="100">
        <f t="shared" si="89"/>
        <v>1452.7421408172345</v>
      </c>
      <c r="X225" s="100">
        <f t="shared" si="89"/>
        <v>1439.6674615498791</v>
      </c>
      <c r="Y225" s="100">
        <f t="shared" si="89"/>
        <v>1426.7104543959301</v>
      </c>
      <c r="Z225" s="100">
        <f t="shared" si="89"/>
        <v>1413.8700603063667</v>
      </c>
      <c r="AA225" s="100">
        <f t="shared" si="89"/>
        <v>1401.1452297636092</v>
      </c>
      <c r="AB225" s="100">
        <f t="shared" si="89"/>
        <v>1388.5349226957367</v>
      </c>
    </row>
    <row r="226" spans="2:41">
      <c r="B226" s="6" t="s">
        <v>187</v>
      </c>
      <c r="D226" s="100">
        <f t="shared" ref="D226:AB226" si="90">IF((D224-D225)&lt;=(D223-D225),D224-D225,D223-D225)</f>
        <v>1250</v>
      </c>
      <c r="E226" s="100">
        <f t="shared" si="90"/>
        <v>1275</v>
      </c>
      <c r="F226" s="100">
        <f t="shared" si="90"/>
        <v>1300.5</v>
      </c>
      <c r="G226" s="100">
        <f t="shared" si="90"/>
        <v>1326.51</v>
      </c>
      <c r="H226" s="100">
        <f t="shared" si="90"/>
        <v>1353.0401999999999</v>
      </c>
      <c r="I226" s="100">
        <f t="shared" si="90"/>
        <v>1380.1010039999999</v>
      </c>
      <c r="J226" s="100">
        <f t="shared" si="90"/>
        <v>1407.70302408</v>
      </c>
      <c r="K226" s="100">
        <f t="shared" si="90"/>
        <v>1435.8570845616</v>
      </c>
      <c r="L226" s="100">
        <f t="shared" si="90"/>
        <v>1464.574226252832</v>
      </c>
      <c r="M226" s="100">
        <f t="shared" si="90"/>
        <v>1493.8657107778886</v>
      </c>
      <c r="N226" s="100">
        <f t="shared" si="90"/>
        <v>1523.7430249934464</v>
      </c>
      <c r="O226" s="100">
        <f t="shared" si="90"/>
        <v>1554.2178854933154</v>
      </c>
      <c r="P226" s="100">
        <f t="shared" si="90"/>
        <v>1547.6507169416959</v>
      </c>
      <c r="Q226" s="100">
        <f t="shared" si="90"/>
        <v>1533.7218604892205</v>
      </c>
      <c r="R226" s="100">
        <f t="shared" si="90"/>
        <v>1519.9183637448175</v>
      </c>
      <c r="S226" s="100">
        <f t="shared" si="90"/>
        <v>1506.2390984711142</v>
      </c>
      <c r="T226" s="100">
        <f t="shared" si="90"/>
        <v>1492.6829465848741</v>
      </c>
      <c r="U226" s="100">
        <f t="shared" si="90"/>
        <v>1479.2488000656101</v>
      </c>
      <c r="V226" s="100">
        <f t="shared" si="90"/>
        <v>1465.9355608650196</v>
      </c>
      <c r="W226" s="100">
        <f t="shared" si="90"/>
        <v>1452.7421408172345</v>
      </c>
      <c r="X226" s="100">
        <f t="shared" si="90"/>
        <v>1439.6674615498791</v>
      </c>
      <c r="Y226" s="100">
        <f t="shared" si="90"/>
        <v>1426.7104543959301</v>
      </c>
      <c r="Z226" s="100">
        <f t="shared" si="90"/>
        <v>1413.8700603063667</v>
      </c>
      <c r="AA226" s="100">
        <f t="shared" si="90"/>
        <v>1401.1452297636092</v>
      </c>
      <c r="AB226" s="100">
        <f t="shared" si="90"/>
        <v>1388.5349226957367</v>
      </c>
    </row>
    <row r="227" spans="2:41">
      <c r="B227" s="6" t="s">
        <v>189</v>
      </c>
      <c r="D227" s="100">
        <f>IF(D226&gt;=0,D226,0)</f>
        <v>1250</v>
      </c>
      <c r="E227" s="100">
        <f t="shared" ref="E227:AB227" si="91">IF(E226&gt;=0,E226,0)</f>
        <v>1275</v>
      </c>
      <c r="F227" s="100">
        <f t="shared" si="91"/>
        <v>1300.5</v>
      </c>
      <c r="G227" s="100">
        <f t="shared" si="91"/>
        <v>1326.51</v>
      </c>
      <c r="H227" s="100">
        <f t="shared" si="91"/>
        <v>1353.0401999999999</v>
      </c>
      <c r="I227" s="100">
        <f t="shared" si="91"/>
        <v>1380.1010039999999</v>
      </c>
      <c r="J227" s="100">
        <f t="shared" si="91"/>
        <v>1407.70302408</v>
      </c>
      <c r="K227" s="100">
        <f t="shared" si="91"/>
        <v>1435.8570845616</v>
      </c>
      <c r="L227" s="100">
        <f t="shared" si="91"/>
        <v>1464.574226252832</v>
      </c>
      <c r="M227" s="100">
        <f t="shared" si="91"/>
        <v>1493.8657107778886</v>
      </c>
      <c r="N227" s="100">
        <f t="shared" si="91"/>
        <v>1523.7430249934464</v>
      </c>
      <c r="O227" s="100">
        <f t="shared" si="91"/>
        <v>1554.2178854933154</v>
      </c>
      <c r="P227" s="100">
        <f t="shared" si="91"/>
        <v>1547.6507169416959</v>
      </c>
      <c r="Q227" s="100">
        <f t="shared" si="91"/>
        <v>1533.7218604892205</v>
      </c>
      <c r="R227" s="100">
        <f t="shared" si="91"/>
        <v>1519.9183637448175</v>
      </c>
      <c r="S227" s="100">
        <f t="shared" si="91"/>
        <v>1506.2390984711142</v>
      </c>
      <c r="T227" s="100">
        <f t="shared" si="91"/>
        <v>1492.6829465848741</v>
      </c>
      <c r="U227" s="100">
        <f t="shared" si="91"/>
        <v>1479.2488000656101</v>
      </c>
      <c r="V227" s="100">
        <f t="shared" si="91"/>
        <v>1465.9355608650196</v>
      </c>
      <c r="W227" s="100">
        <f t="shared" si="91"/>
        <v>1452.7421408172345</v>
      </c>
      <c r="X227" s="100">
        <f t="shared" si="91"/>
        <v>1439.6674615498791</v>
      </c>
      <c r="Y227" s="100">
        <f t="shared" si="91"/>
        <v>1426.7104543959301</v>
      </c>
      <c r="Z227" s="100">
        <f t="shared" si="91"/>
        <v>1413.8700603063667</v>
      </c>
      <c r="AA227" s="100">
        <f t="shared" si="91"/>
        <v>1401.1452297636092</v>
      </c>
      <c r="AB227" s="100">
        <f t="shared" si="91"/>
        <v>1388.5349226957367</v>
      </c>
    </row>
    <row r="228" spans="2:41">
      <c r="B228" s="6" t="s">
        <v>188</v>
      </c>
      <c r="D228" s="100">
        <f t="shared" ref="D228:AB228" si="92">D223-D225-D226</f>
        <v>950</v>
      </c>
      <c r="E228" s="100">
        <f t="shared" si="92"/>
        <v>868.94999999999982</v>
      </c>
      <c r="F228" s="100">
        <f t="shared" si="92"/>
        <v>787.17944999999918</v>
      </c>
      <c r="G228" s="100">
        <f t="shared" si="92"/>
        <v>704.66583494999895</v>
      </c>
      <c r="H228" s="100">
        <f t="shared" si="92"/>
        <v>621.38626243544877</v>
      </c>
      <c r="I228" s="100">
        <f t="shared" si="92"/>
        <v>537.31745447352978</v>
      </c>
      <c r="J228" s="100">
        <f t="shared" si="92"/>
        <v>452.43573915126763</v>
      </c>
      <c r="K228" s="100">
        <f t="shared" si="92"/>
        <v>366.71704210226608</v>
      </c>
      <c r="L228" s="100">
        <f t="shared" si="92"/>
        <v>280.13687781877297</v>
      </c>
      <c r="M228" s="100">
        <f t="shared" si="92"/>
        <v>192.67034079573932</v>
      </c>
      <c r="N228" s="100">
        <f t="shared" si="92"/>
        <v>104.29209650346002</v>
      </c>
      <c r="O228" s="100">
        <f t="shared" si="92"/>
        <v>14.976372185308719</v>
      </c>
      <c r="P228" s="100">
        <f t="shared" si="92"/>
        <v>0</v>
      </c>
      <c r="Q228" s="100">
        <f t="shared" si="92"/>
        <v>0</v>
      </c>
      <c r="R228" s="100">
        <f t="shared" si="92"/>
        <v>0</v>
      </c>
      <c r="S228" s="100">
        <f t="shared" si="92"/>
        <v>0</v>
      </c>
      <c r="T228" s="100">
        <f t="shared" si="92"/>
        <v>0</v>
      </c>
      <c r="U228" s="100">
        <f t="shared" si="92"/>
        <v>0</v>
      </c>
      <c r="V228" s="100">
        <f t="shared" si="92"/>
        <v>0</v>
      </c>
      <c r="W228" s="100">
        <f t="shared" si="92"/>
        <v>0</v>
      </c>
      <c r="X228" s="100">
        <f t="shared" si="92"/>
        <v>0</v>
      </c>
      <c r="Y228" s="100">
        <f t="shared" si="92"/>
        <v>0</v>
      </c>
      <c r="Z228" s="100">
        <f t="shared" si="92"/>
        <v>0</v>
      </c>
      <c r="AA228" s="100">
        <f t="shared" si="92"/>
        <v>0</v>
      </c>
      <c r="AB228" s="100">
        <f t="shared" si="92"/>
        <v>0</v>
      </c>
    </row>
    <row r="229" spans="2:41">
      <c r="D229" s="6" t="s">
        <v>157</v>
      </c>
    </row>
    <row r="230" spans="2:41">
      <c r="D230" s="6" t="b">
        <f>AND(D1=6,Q49=1)</f>
        <v>0</v>
      </c>
    </row>
    <row r="232" spans="2:41">
      <c r="D232" s="6" t="s">
        <v>158</v>
      </c>
    </row>
    <row r="233" spans="2:41">
      <c r="D233" s="6" t="b">
        <f>AND(D1=6,Q49=2)</f>
        <v>0</v>
      </c>
    </row>
    <row r="235" spans="2:41">
      <c r="B235" s="6" t="s">
        <v>162</v>
      </c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4"/>
      <c r="AI235" s="154"/>
      <c r="AJ235" s="154"/>
      <c r="AK235" s="154"/>
      <c r="AL235" s="154"/>
      <c r="AM235" s="154"/>
      <c r="AN235" s="154"/>
      <c r="AO235" s="154"/>
    </row>
    <row r="236" spans="2:41">
      <c r="D236" s="167">
        <f>'Simulazione 7.2'!C54/100*90</f>
        <v>0.16200000000000001</v>
      </c>
      <c r="E236" s="167">
        <f>D236+(D236/100*'Simulazione 7.2'!$C$58)</f>
        <v>0.16767000000000001</v>
      </c>
      <c r="F236" s="167">
        <f>E236+(E236/100*'Simulazione 7.2'!$C$58)</f>
        <v>0.17353845000000001</v>
      </c>
      <c r="G236" s="167">
        <f>F236+(F236/100*'Simulazione 7.2'!$C$58)</f>
        <v>0.17961229575000001</v>
      </c>
      <c r="H236" s="167">
        <f>G236+(G236/100*'Simulazione 7.2'!$C$58)</f>
        <v>0.18589872610125002</v>
      </c>
      <c r="I236" s="167">
        <f>H236+(H236/100*'Simulazione 7.2'!$C$58)</f>
        <v>0.19240518151479377</v>
      </c>
      <c r="J236" s="167">
        <f>I236+(I236/100*'Simulazione 7.2'!$C$58)</f>
        <v>0.19913936286781156</v>
      </c>
      <c r="K236" s="167">
        <f>J236+(J236/100*'Simulazione 7.2'!$C$58)</f>
        <v>0.20610924056818497</v>
      </c>
      <c r="L236" s="167">
        <f>K236+(K236/100*'Simulazione 7.2'!$C$58)</f>
        <v>0.21332306398807144</v>
      </c>
      <c r="M236" s="167">
        <f>L236+(L236/100*'Simulazione 7.2'!$C$58)</f>
        <v>0.22078937122765394</v>
      </c>
      <c r="N236" s="167">
        <f>M236+(M236/100*'Simulazione 7.2'!$C$58)</f>
        <v>0.22851699922062182</v>
      </c>
      <c r="O236" s="167">
        <f>N236+(N236/100*'Simulazione 7.2'!$C$58)</f>
        <v>0.2365150941933436</v>
      </c>
      <c r="P236" s="167">
        <f>O236+(O236/100*'Simulazione 7.2'!$C$58)</f>
        <v>0.24479312249011062</v>
      </c>
      <c r="Q236" s="167">
        <f>P236+(P236/100*'Simulazione 7.2'!$C$58)</f>
        <v>0.25336088177726451</v>
      </c>
      <c r="R236" s="167">
        <f>Q236+(Q236/100*'Simulazione 7.2'!$C$58)</f>
        <v>0.26222851263946878</v>
      </c>
      <c r="S236" s="167">
        <f>R236+(R236/100*'Simulazione 7.2'!$C$58)</f>
        <v>0.27140651058185017</v>
      </c>
      <c r="T236" s="167">
        <f>S236+(S236/100*'Simulazione 7.2'!$C$58)</f>
        <v>0.28090573845221495</v>
      </c>
      <c r="U236" s="167">
        <f>T236+(T236/100*'Simulazione 7.2'!$C$58)</f>
        <v>0.29073743929804247</v>
      </c>
      <c r="V236" s="167">
        <f>U236+(U236/100*'Simulazione 7.2'!$C$58)</f>
        <v>0.30091324967347394</v>
      </c>
      <c r="W236" s="167">
        <f>V236+(V236/100*'Simulazione 7.2'!$C$58)</f>
        <v>0.31144521341204551</v>
      </c>
      <c r="X236" s="167">
        <f>W236+(W236/100*'Simulazione 7.2'!$C$58)</f>
        <v>0.32234579588146711</v>
      </c>
      <c r="Y236" s="167">
        <f>X236+(X236/100*'Simulazione 7.2'!$C$58)</f>
        <v>0.33362789873731846</v>
      </c>
      <c r="Z236" s="167">
        <f>Y236+(Y236/100*'Simulazione 7.2'!$C$58)</f>
        <v>0.34530487519312458</v>
      </c>
      <c r="AA236" s="167">
        <f>Z236+(Z236/100*'Simulazione 7.2'!$C$58)</f>
        <v>0.35739054582488394</v>
      </c>
      <c r="AB236" s="167">
        <f>AA236+(AA236/100*'Simulazione 7.2'!$C$58)</f>
        <v>0.36989921492875488</v>
      </c>
    </row>
    <row r="237" spans="2:41">
      <c r="C237" s="6" t="s">
        <v>179</v>
      </c>
      <c r="D237" s="99">
        <f>IF(('Simulazione 7.2'!E64-'Simulazione 7.2'!E65)&gt;'Simulazione 7.2'!E68,'Simulazione 7.2'!E68*Calcoli!D236,('Simulazione 7.2'!E64-'Simulazione 7.2'!E65)*Calcoli!D236)</f>
        <v>202.5</v>
      </c>
      <c r="E237" s="99">
        <f>IF(('Simulazione 7.2'!F64-'Simulazione 7.2'!F65)&gt;'Simulazione 7.2'!F68,'Simulazione 7.2'!F68*Calcoli!E236,('Simulazione 7.2'!F64-'Simulazione 7.2'!F65)*Calcoli!E236)</f>
        <v>213.77925000000002</v>
      </c>
      <c r="F237" s="99">
        <f>IF(('Simulazione 7.2'!G64-'Simulazione 7.2'!G65)&gt;'Simulazione 7.2'!G68,'Simulazione 7.2'!G68*Calcoli!F236,('Simulazione 7.2'!G64-'Simulazione 7.2'!G65)*Calcoli!F236)</f>
        <v>225.68675422500002</v>
      </c>
      <c r="G237" s="99">
        <f>IF(('Simulazione 7.2'!H64-'Simulazione 7.2'!H65)&gt;'Simulazione 7.2'!H68,'Simulazione 7.2'!H68*Calcoli!G236,('Simulazione 7.2'!H64-'Simulazione 7.2'!H65)*Calcoli!G236)</f>
        <v>238.25750643533252</v>
      </c>
      <c r="H237" s="99">
        <f>IF(('Simulazione 7.2'!I64-'Simulazione 7.2'!I65)&gt;'Simulazione 7.2'!I68,'Simulazione 7.2'!I68*Calcoli!H236,('Simulazione 7.2'!I64-'Simulazione 7.2'!I65)*Calcoli!H236)</f>
        <v>251.52844954378054</v>
      </c>
      <c r="I237" s="99">
        <f>IF(('Simulazione 7.2'!J64-'Simulazione 7.2'!J65)&gt;'Simulazione 7.2'!J68,'Simulazione 7.2'!J68*Calcoli!I236,('Simulazione 7.2'!J64-'Simulazione 7.2'!J65)*Calcoli!I236)</f>
        <v>265.5385841833691</v>
      </c>
      <c r="J237" s="99">
        <f>IF(('Simulazione 7.2'!K64-'Simulazione 7.2'!K65)&gt;'Simulazione 7.2'!K68,'Simulazione 7.2'!K68*Calcoli!J236,('Simulazione 7.2'!K64-'Simulazione 7.2'!K65)*Calcoli!J236)</f>
        <v>280.32908332238281</v>
      </c>
      <c r="K237" s="99">
        <f>IF(('Simulazione 7.2'!L64-'Simulazione 7.2'!L65)&gt;'Simulazione 7.2'!L68,'Simulazione 7.2'!L68*Calcoli!K236,('Simulazione 7.2'!L64-'Simulazione 7.2'!L65)*Calcoli!K236)</f>
        <v>295.94341326343954</v>
      </c>
      <c r="L237" s="99">
        <f>IF(('Simulazione 7.2'!M64-'Simulazione 7.2'!M65)&gt;'Simulazione 7.2'!M68,'Simulazione 7.2'!M68*Calcoli!L236,('Simulazione 7.2'!M64-'Simulazione 7.2'!M65)*Calcoli!L236)</f>
        <v>312.4274613822131</v>
      </c>
      <c r="M237" s="99">
        <f>IF(('Simulazione 7.2'!N64-'Simulazione 7.2'!N65)&gt;'Simulazione 7.2'!N68,'Simulazione 7.2'!N68*Calcoli!M236,('Simulazione 7.2'!N64-'Simulazione 7.2'!N65)*Calcoli!M236)</f>
        <v>329.82967098120236</v>
      </c>
      <c r="N237" s="99">
        <f>IF(('Simulazione 7.2'!O64-'Simulazione 7.2'!O65)&gt;'Simulazione 7.2'!O68,'Simulazione 7.2'!O68*Calcoli!N236,('Simulazione 7.2'!O64-'Simulazione 7.2'!O65)*Calcoli!N236)</f>
        <v>348.20118365485536</v>
      </c>
      <c r="O237" s="99">
        <f>IF(('Simulazione 7.2'!P64-'Simulazione 7.2'!P65)&gt;'Simulazione 7.2'!P68,'Simulazione 7.2'!P68*Calcoli!O236,('Simulazione 7.2'!P64-'Simulazione 7.2'!P65)*Calcoli!O236)</f>
        <v>367.59598958443081</v>
      </c>
      <c r="P237" s="99">
        <f>IF(('Simulazione 7.2'!Q64-'Simulazione 7.2'!Q65)&gt;'Simulazione 7.2'!Q68,'Simulazione 7.2'!Q68*Calcoli!P236,('Simulazione 7.2'!Q64-'Simulazione 7.2'!Q65)*Calcoli!P236)</f>
        <v>378.85425152421607</v>
      </c>
      <c r="Q237" s="99">
        <f>IF(('Simulazione 7.2'!R64-'Simulazione 7.2'!R65)&gt;'Simulazione 7.2'!R68,'Simulazione 7.2'!R68*Calcoli!Q236,('Simulazione 7.2'!R64-'Simulazione 7.2'!R65)*Calcoli!Q236)</f>
        <v>388.58512297461556</v>
      </c>
      <c r="R237" s="99">
        <f>IF(('Simulazione 7.2'!S64-'Simulazione 7.2'!S65)&gt;'Simulazione 7.2'!S68,'Simulazione 7.2'!S68*Calcoli!R236,('Simulazione 7.2'!S64-'Simulazione 7.2'!S65)*Calcoli!R236)</f>
        <v>398.56593185821856</v>
      </c>
      <c r="S237" s="99">
        <f>IF(('Simulazione 7.2'!T64-'Simulazione 7.2'!T65)&gt;'Simulazione 7.2'!T68,'Simulazione 7.2'!T68*Calcoli!S236,('Simulazione 7.2'!T64-'Simulazione 7.2'!T65)*Calcoli!S236)</f>
        <v>408.8030978179969</v>
      </c>
      <c r="T237" s="99">
        <f>IF(('Simulazione 7.2'!U64-'Simulazione 7.2'!U65)&gt;'Simulazione 7.2'!U68,'Simulazione 7.2'!U68*Calcoli!T236,('Simulazione 7.2'!U64-'Simulazione 7.2'!U65)*Calcoli!T236)</f>
        <v>419.3032053854522</v>
      </c>
      <c r="U237" s="99">
        <f>IF(('Simulazione 7.2'!V64-'Simulazione 7.2'!V65)&gt;'Simulazione 7.2'!V68,'Simulazione 7.2'!V68*Calcoli!U236,('Simulazione 7.2'!V64-'Simulazione 7.2'!V65)*Calcoli!U236)</f>
        <v>430.07300821577746</v>
      </c>
      <c r="V237" s="99">
        <f>IF(('Simulazione 7.2'!W64-'Simulazione 7.2'!W65)&gt;'Simulazione 7.2'!W68,'Simulazione 7.2'!W68*Calcoli!V236,('Simulazione 7.2'!W64-'Simulazione 7.2'!W65)*Calcoli!V236)</f>
        <v>441.11943343179968</v>
      </c>
      <c r="W237" s="99">
        <f>IF(('Simulazione 7.2'!X64-'Simulazione 7.2'!X65)&gt;'Simulazione 7.2'!X68,'Simulazione 7.2'!X68*Calcoli!W236,('Simulazione 7.2'!X64-'Simulazione 7.2'!X65)*Calcoli!W236)</f>
        <v>452.44958607949548</v>
      </c>
      <c r="X237" s="99">
        <f>IF(('Simulazione 7.2'!Y64-'Simulazione 7.2'!Y65)&gt;'Simulazione 7.2'!Y68,'Simulazione 7.2'!Y68*Calcoli!X236,('Simulazione 7.2'!Y64-'Simulazione 7.2'!Y65)*Calcoli!X236)</f>
        <v>464.07075369794723</v>
      </c>
      <c r="Y237" s="99">
        <f>IF(('Simulazione 7.2'!Z64-'Simulazione 7.2'!Z65)&gt;'Simulazione 7.2'!Z68,'Simulazione 7.2'!Z68*Calcoli!Y236,('Simulazione 7.2'!Z64-'Simulazione 7.2'!Z65)*Calcoli!Y236)</f>
        <v>475.99041100667898</v>
      </c>
      <c r="Z237" s="99">
        <f>IF(('Simulazione 7.2'!AA64-'Simulazione 7.2'!AA65)&gt;'Simulazione 7.2'!AA68,'Simulazione 7.2'!AA68*Calcoli!Z236,('Simulazione 7.2'!AA64-'Simulazione 7.2'!AA65)*Calcoli!Z236)</f>
        <v>488.21622471338549</v>
      </c>
      <c r="AA237" s="99">
        <f>IF(('Simulazione 7.2'!AB64-'Simulazione 7.2'!AB65)&gt;'Simulazione 7.2'!AB68,'Simulazione 7.2'!AB68*Calcoli!AA236,('Simulazione 7.2'!AB64-'Simulazione 7.2'!AB65)*Calcoli!AA236)</f>
        <v>500.75605844514871</v>
      </c>
      <c r="AB237" s="99">
        <f>IF(('Simulazione 7.2'!AC64-'Simulazione 7.2'!AC65)&gt;'Simulazione 7.2'!AC68,'Simulazione 7.2'!AC68*Calcoli!AB236,('Simulazione 7.2'!AC64-'Simulazione 7.2'!AC65)*Calcoli!AB236)</f>
        <v>513.6179778063123</v>
      </c>
    </row>
    <row r="238" spans="2:41">
      <c r="C238" s="6" t="s">
        <v>24</v>
      </c>
      <c r="D238" s="99">
        <f>D227</f>
        <v>1250</v>
      </c>
      <c r="E238" s="99">
        <f t="shared" ref="E238:AB238" si="93">E227</f>
        <v>1275</v>
      </c>
      <c r="F238" s="99">
        <f t="shared" si="93"/>
        <v>1300.5</v>
      </c>
      <c r="G238" s="99">
        <f t="shared" si="93"/>
        <v>1326.51</v>
      </c>
      <c r="H238" s="99">
        <f t="shared" si="93"/>
        <v>1353.0401999999999</v>
      </c>
      <c r="I238" s="99">
        <f t="shared" si="93"/>
        <v>1380.1010039999999</v>
      </c>
      <c r="J238" s="99">
        <f t="shared" si="93"/>
        <v>1407.70302408</v>
      </c>
      <c r="K238" s="99">
        <f t="shared" si="93"/>
        <v>1435.8570845616</v>
      </c>
      <c r="L238" s="99">
        <f t="shared" si="93"/>
        <v>1464.574226252832</v>
      </c>
      <c r="M238" s="99">
        <f t="shared" si="93"/>
        <v>1493.8657107778886</v>
      </c>
      <c r="N238" s="99">
        <f t="shared" si="93"/>
        <v>1523.7430249934464</v>
      </c>
      <c r="O238" s="99">
        <f t="shared" si="93"/>
        <v>1554.2178854933154</v>
      </c>
      <c r="P238" s="99">
        <f t="shared" si="93"/>
        <v>1547.6507169416959</v>
      </c>
      <c r="Q238" s="99">
        <f t="shared" si="93"/>
        <v>1533.7218604892205</v>
      </c>
      <c r="R238" s="99">
        <f t="shared" si="93"/>
        <v>1519.9183637448175</v>
      </c>
      <c r="S238" s="99">
        <f t="shared" si="93"/>
        <v>1506.2390984711142</v>
      </c>
      <c r="T238" s="99">
        <f t="shared" si="93"/>
        <v>1492.6829465848741</v>
      </c>
      <c r="U238" s="99">
        <f t="shared" si="93"/>
        <v>1479.2488000656101</v>
      </c>
      <c r="V238" s="99">
        <f t="shared" si="93"/>
        <v>1465.9355608650196</v>
      </c>
      <c r="W238" s="99">
        <f t="shared" si="93"/>
        <v>1452.7421408172345</v>
      </c>
      <c r="X238" s="99">
        <f t="shared" si="93"/>
        <v>1439.6674615498791</v>
      </c>
      <c r="Y238" s="99">
        <f t="shared" si="93"/>
        <v>1426.7104543959301</v>
      </c>
      <c r="Z238" s="99">
        <f t="shared" si="93"/>
        <v>1413.8700603063667</v>
      </c>
      <c r="AA238" s="99">
        <f t="shared" si="93"/>
        <v>1401.1452297636092</v>
      </c>
      <c r="AB238" s="99">
        <f t="shared" si="93"/>
        <v>1388.5349226957367</v>
      </c>
    </row>
    <row r="239" spans="2:41"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</row>
    <row r="240" spans="2:41">
      <c r="B240" s="6" t="s">
        <v>181</v>
      </c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</row>
    <row r="241" spans="3:31">
      <c r="C241" s="6" t="s">
        <v>179</v>
      </c>
      <c r="D241" s="99">
        <f>D242*D253</f>
        <v>104.5</v>
      </c>
      <c r="E241" s="99">
        <f t="shared" ref="E241:AB241" si="94">E242*E253</f>
        <v>98.929957499999986</v>
      </c>
      <c r="F241" s="99">
        <f t="shared" si="94"/>
        <v>92.757093695887406</v>
      </c>
      <c r="G241" s="99">
        <f t="shared" si="94"/>
        <v>85.940316782194998</v>
      </c>
      <c r="H241" s="99">
        <f t="shared" si="94"/>
        <v>78.4360531258788</v>
      </c>
      <c r="I241" s="99">
        <f t="shared" si="94"/>
        <v>70.198104070957456</v>
      </c>
      <c r="J241" s="99">
        <f t="shared" si="94"/>
        <v>61.177494639834514</v>
      </c>
      <c r="K241" s="99">
        <f t="shared" si="94"/>
        <v>51.322313676679066</v>
      </c>
      <c r="L241" s="99">
        <f t="shared" si="94"/>
        <v>40.577544952832049</v>
      </c>
      <c r="M241" s="99">
        <f t="shared" si="94"/>
        <v>28.884888727382712</v>
      </c>
      <c r="N241" s="99">
        <f t="shared" si="94"/>
        <v>16.18257322773951</v>
      </c>
      <c r="O241" s="99">
        <f t="shared" si="94"/>
        <v>2.405155485117993</v>
      </c>
      <c r="P241" s="99">
        <f t="shared" si="94"/>
        <v>0</v>
      </c>
      <c r="Q241" s="99">
        <f t="shared" si="94"/>
        <v>0</v>
      </c>
      <c r="R241" s="99">
        <f t="shared" si="94"/>
        <v>0</v>
      </c>
      <c r="S241" s="99">
        <f t="shared" si="94"/>
        <v>0</v>
      </c>
      <c r="T241" s="99">
        <f t="shared" si="94"/>
        <v>0</v>
      </c>
      <c r="U241" s="99">
        <f t="shared" si="94"/>
        <v>0</v>
      </c>
      <c r="V241" s="99">
        <f t="shared" si="94"/>
        <v>0</v>
      </c>
      <c r="W241" s="99">
        <f t="shared" si="94"/>
        <v>0</v>
      </c>
      <c r="X241" s="99">
        <f t="shared" si="94"/>
        <v>0</v>
      </c>
      <c r="Y241" s="99">
        <f t="shared" si="94"/>
        <v>0</v>
      </c>
      <c r="Z241" s="99">
        <f t="shared" si="94"/>
        <v>0</v>
      </c>
      <c r="AA241" s="99">
        <f t="shared" si="94"/>
        <v>0</v>
      </c>
      <c r="AB241" s="99">
        <f t="shared" si="94"/>
        <v>0</v>
      </c>
    </row>
    <row r="242" spans="3:31">
      <c r="C242" s="6" t="s">
        <v>180</v>
      </c>
      <c r="D242" s="99">
        <f t="shared" ref="D242:AB242" si="95">IF((D224-D225)&gt;=D223,D228,D223-D225-D238)</f>
        <v>950</v>
      </c>
      <c r="E242" s="99">
        <f t="shared" si="95"/>
        <v>868.94999999999982</v>
      </c>
      <c r="F242" s="99">
        <f t="shared" si="95"/>
        <v>787.17944999999918</v>
      </c>
      <c r="G242" s="99">
        <f t="shared" si="95"/>
        <v>704.66583494999895</v>
      </c>
      <c r="H242" s="99">
        <f t="shared" si="95"/>
        <v>621.38626243544877</v>
      </c>
      <c r="I242" s="99">
        <f t="shared" si="95"/>
        <v>537.31745447352978</v>
      </c>
      <c r="J242" s="99">
        <f t="shared" si="95"/>
        <v>452.43573915126763</v>
      </c>
      <c r="K242" s="99">
        <f t="shared" si="95"/>
        <v>366.71704210226608</v>
      </c>
      <c r="L242" s="99">
        <f t="shared" si="95"/>
        <v>280.13687781877297</v>
      </c>
      <c r="M242" s="99">
        <f t="shared" si="95"/>
        <v>192.67034079573932</v>
      </c>
      <c r="N242" s="99">
        <f t="shared" si="95"/>
        <v>104.29209650346002</v>
      </c>
      <c r="O242" s="99">
        <f t="shared" si="95"/>
        <v>14.976372185308719</v>
      </c>
      <c r="P242" s="99">
        <f t="shared" si="95"/>
        <v>0</v>
      </c>
      <c r="Q242" s="99">
        <f t="shared" si="95"/>
        <v>0</v>
      </c>
      <c r="R242" s="99">
        <f t="shared" si="95"/>
        <v>0</v>
      </c>
      <c r="S242" s="99">
        <f t="shared" si="95"/>
        <v>0</v>
      </c>
      <c r="T242" s="99">
        <f t="shared" si="95"/>
        <v>0</v>
      </c>
      <c r="U242" s="99">
        <f t="shared" si="95"/>
        <v>0</v>
      </c>
      <c r="V242" s="99">
        <f t="shared" si="95"/>
        <v>0</v>
      </c>
      <c r="W242" s="99">
        <f t="shared" si="95"/>
        <v>0</v>
      </c>
      <c r="X242" s="99">
        <f t="shared" si="95"/>
        <v>0</v>
      </c>
      <c r="Y242" s="99">
        <f t="shared" si="95"/>
        <v>0</v>
      </c>
      <c r="Z242" s="99">
        <f t="shared" si="95"/>
        <v>0</v>
      </c>
      <c r="AA242" s="99">
        <f t="shared" si="95"/>
        <v>0</v>
      </c>
      <c r="AB242" s="99">
        <f t="shared" si="95"/>
        <v>0</v>
      </c>
    </row>
    <row r="244" spans="3:31">
      <c r="Q244" s="166"/>
    </row>
    <row r="246" spans="3:31">
      <c r="C246" s="6" t="s">
        <v>168</v>
      </c>
    </row>
    <row r="248" spans="3:31">
      <c r="D248" s="155">
        <v>1</v>
      </c>
      <c r="E248" s="155">
        <v>2</v>
      </c>
      <c r="F248" s="155">
        <v>3</v>
      </c>
      <c r="G248" s="155">
        <v>4</v>
      </c>
      <c r="H248" s="155">
        <v>5</v>
      </c>
      <c r="I248" s="155">
        <v>6</v>
      </c>
      <c r="J248" s="155">
        <v>7</v>
      </c>
      <c r="K248" s="155">
        <v>8</v>
      </c>
      <c r="L248" s="155">
        <v>9</v>
      </c>
      <c r="M248" s="155">
        <v>10</v>
      </c>
      <c r="N248" s="155">
        <v>11</v>
      </c>
      <c r="O248" s="155">
        <v>12</v>
      </c>
      <c r="P248" s="155">
        <v>13</v>
      </c>
      <c r="Q248" s="155">
        <v>14</v>
      </c>
      <c r="R248" s="155">
        <v>15</v>
      </c>
      <c r="S248" s="155">
        <v>16</v>
      </c>
      <c r="T248" s="155">
        <v>17</v>
      </c>
      <c r="U248" s="155">
        <v>18</v>
      </c>
      <c r="V248" s="155">
        <v>19</v>
      </c>
      <c r="W248" s="155">
        <v>20</v>
      </c>
      <c r="X248" s="155">
        <v>21</v>
      </c>
      <c r="Y248" s="155">
        <v>22</v>
      </c>
      <c r="Z248" s="155">
        <v>23</v>
      </c>
      <c r="AA248" s="155">
        <v>24</v>
      </c>
      <c r="AB248" s="155">
        <v>25</v>
      </c>
    </row>
    <row r="249" spans="3:31">
      <c r="D249" s="155">
        <f>'Simulazione 7.2'!C54</f>
        <v>0.18</v>
      </c>
      <c r="E249" s="155">
        <f>D249+(D249/100*'Simulazione 7.2'!$C$58)</f>
        <v>0.18629999999999999</v>
      </c>
      <c r="F249" s="155">
        <f>E249+(E249/100*'Simulazione 7.2'!$C$58)</f>
        <v>0.19282050000000001</v>
      </c>
      <c r="G249" s="155">
        <f>F249+(F249/100*'Simulazione 7.2'!$C$58)</f>
        <v>0.19956921750000001</v>
      </c>
      <c r="H249" s="155">
        <f>G249+(G249/100*'Simulazione 7.2'!$C$58)</f>
        <v>0.20655414011250001</v>
      </c>
      <c r="I249" s="155">
        <f>H249+(H249/100*'Simulazione 7.2'!$C$58)</f>
        <v>0.21378353501643751</v>
      </c>
      <c r="J249" s="155">
        <f>I249+(I249/100*'Simulazione 7.2'!$C$58)</f>
        <v>0.22126595874201282</v>
      </c>
      <c r="K249" s="155">
        <f>J249+(J249/100*'Simulazione 7.2'!$C$58)</f>
        <v>0.22901026729798327</v>
      </c>
      <c r="L249" s="155">
        <f>K249+(K249/100*'Simulazione 7.2'!$C$58)</f>
        <v>0.23702562665341267</v>
      </c>
      <c r="M249" s="155">
        <f>L249+(L249/100*'Simulazione 7.2'!$C$58)</f>
        <v>0.24532152358628212</v>
      </c>
      <c r="N249" s="155">
        <f>M249+(M249/100*'Simulazione 7.2'!$C$58)</f>
        <v>0.253907776911802</v>
      </c>
      <c r="O249" s="155">
        <f>N249+(N249/100*'Simulazione 7.2'!$C$58)</f>
        <v>0.26279454910371508</v>
      </c>
      <c r="P249" s="155">
        <f>O249+(O249/100*'Simulazione 7.2'!$C$58)</f>
        <v>0.27199235832234508</v>
      </c>
      <c r="Q249" s="155">
        <f>P249+(P249/100*'Simulazione 7.2'!$C$58)</f>
        <v>0.28151209086362716</v>
      </c>
      <c r="R249" s="155">
        <f>Q249+(Q249/100*'Simulazione 7.2'!$C$58)</f>
        <v>0.29136501404385412</v>
      </c>
      <c r="S249" s="155">
        <f>R249+(R249/100*'Simulazione 7.2'!$C$58)</f>
        <v>0.30156278953538901</v>
      </c>
      <c r="T249" s="155">
        <f>S249+(S249/100*'Simulazione 7.2'!$C$58)</f>
        <v>0.31211748716912763</v>
      </c>
      <c r="U249" s="155">
        <f>T249+(T249/100*'Simulazione 7.2'!$C$58)</f>
        <v>0.3230415992200471</v>
      </c>
      <c r="V249" s="155">
        <f>U249+(U249/100*'Simulazione 7.2'!$C$58)</f>
        <v>0.33434805519274874</v>
      </c>
      <c r="W249" s="155">
        <f>V249+(V249/100*'Simulazione 7.2'!$C$58)</f>
        <v>0.34605023712449495</v>
      </c>
      <c r="X249" s="155">
        <f>W249+(W249/100*'Simulazione 7.2'!$C$58)</f>
        <v>0.3581619954238523</v>
      </c>
      <c r="Y249" s="155">
        <f>X249+(X249/100*'Simulazione 7.2'!$C$58)</f>
        <v>0.37069766526368714</v>
      </c>
      <c r="Z249" s="155">
        <f>Y249+(Y249/100*'Simulazione 7.2'!$C$58)</f>
        <v>0.38367208354791621</v>
      </c>
      <c r="AA249" s="155">
        <f>Z249+(Z249/100*'Simulazione 7.2'!$C$58)</f>
        <v>0.39710060647209328</v>
      </c>
      <c r="AB249" s="155">
        <f>AA249+(AA249/100*'Simulazione 7.2'!$C$58)</f>
        <v>0.41099912769861652</v>
      </c>
    </row>
    <row r="252" spans="3:31">
      <c r="C252" s="6" t="s">
        <v>170</v>
      </c>
    </row>
    <row r="253" spans="3:31">
      <c r="D253" s="160">
        <v>0.11</v>
      </c>
      <c r="E253" s="160">
        <f>D253+(D253/100*'Simulazione 7.2'!$C$58)</f>
        <v>0.11385000000000001</v>
      </c>
      <c r="F253" s="160">
        <f>E253+(E253/100*'Simulazione 7.2'!$C$58)</f>
        <v>0.11783475</v>
      </c>
      <c r="G253" s="160">
        <f>F253+(F253/100*'Simulazione 7.2'!$C$58)</f>
        <v>0.12195896625000001</v>
      </c>
      <c r="H253" s="160">
        <f>G253+(G253/100*'Simulazione 7.2'!$C$58)</f>
        <v>0.12622753006875001</v>
      </c>
      <c r="I253" s="160">
        <f>H253+(H253/100*'Simulazione 7.2'!$C$58)</f>
        <v>0.13064549362115627</v>
      </c>
      <c r="J253" s="160">
        <f>I253+(I253/100*'Simulazione 7.2'!$C$58)</f>
        <v>0.13521808589789674</v>
      </c>
      <c r="K253" s="160">
        <f>J253+(J253/100*'Simulazione 7.2'!$C$58)</f>
        <v>0.13995071890432312</v>
      </c>
      <c r="L253" s="160">
        <f>K253+(K253/100*'Simulazione 7.2'!$C$58)</f>
        <v>0.14484899406597443</v>
      </c>
      <c r="M253" s="160">
        <f>L253+(L253/100*'Simulazione 7.2'!$C$58)</f>
        <v>0.14991870885828354</v>
      </c>
      <c r="N253" s="160">
        <f>M253+(M253/100*'Simulazione 7.2'!$C$58)</f>
        <v>0.15516586366832347</v>
      </c>
      <c r="O253" s="160">
        <f>N253+(N253/100*'Simulazione 7.2'!$C$58)</f>
        <v>0.16059666889671478</v>
      </c>
      <c r="P253" s="160">
        <f>O253+(O253/100*'Simulazione 7.2'!$C$58)</f>
        <v>0.16621755230809981</v>
      </c>
      <c r="Q253" s="160">
        <f>P253+(P253/100*'Simulazione 7.2'!$C$58)</f>
        <v>0.1720351666388833</v>
      </c>
      <c r="R253" s="160">
        <f>Q253+(Q253/100*'Simulazione 7.2'!$C$58)</f>
        <v>0.17805639747124422</v>
      </c>
      <c r="S253" s="160">
        <f>R253+(R253/100*'Simulazione 7.2'!$C$58)</f>
        <v>0.18428837138273776</v>
      </c>
      <c r="T253" s="160">
        <f>S253+(S253/100*'Simulazione 7.2'!$C$58)</f>
        <v>0.19073846438113359</v>
      </c>
      <c r="U253" s="160">
        <f>T253+(T253/100*'Simulazione 7.2'!$C$58)</f>
        <v>0.19741431063447326</v>
      </c>
      <c r="V253" s="160">
        <f>U253+(U253/100*'Simulazione 7.2'!$C$58)</f>
        <v>0.20432381150667983</v>
      </c>
      <c r="W253" s="160">
        <f>V253+(V253/100*'Simulazione 7.2'!$C$58)</f>
        <v>0.21147514490941363</v>
      </c>
      <c r="X253" s="160">
        <f>W253+(W253/100*'Simulazione 7.2'!$C$58)</f>
        <v>0.21887677498124311</v>
      </c>
      <c r="Y253" s="160">
        <f>X253+(X253/100*'Simulazione 7.2'!$C$58)</f>
        <v>0.22653746210558662</v>
      </c>
      <c r="Z253" s="160">
        <f>Y253+(Y253/100*'Simulazione 7.2'!$C$58)</f>
        <v>0.23446627327928216</v>
      </c>
      <c r="AA253" s="160">
        <f>Z253+(Z253/100*'Simulazione 7.2'!$C$58)</f>
        <v>0.24267259284405704</v>
      </c>
      <c r="AB253" s="160">
        <f>AA253+(AA253/100*'Simulazione 7.2'!$C$58)</f>
        <v>0.25116613359359902</v>
      </c>
      <c r="AC253" s="159"/>
      <c r="AD253" s="159"/>
      <c r="AE253" s="159"/>
    </row>
    <row r="256" spans="3:31">
      <c r="C256" s="6" t="s">
        <v>28</v>
      </c>
    </row>
    <row r="257" spans="3:28">
      <c r="D257" s="158"/>
    </row>
    <row r="258" spans="3:28">
      <c r="D258" s="6" t="b">
        <f>AND($C$33&lt;='Simulazione 7.2'!E63,$Q$49=1)</f>
        <v>1</v>
      </c>
      <c r="E258" s="6" t="b">
        <f>AND($C$33&lt;='Simulazione 7.2'!F63,$Q$49=1)</f>
        <v>1</v>
      </c>
      <c r="F258" s="6" t="b">
        <f>AND($C$33&lt;='Simulazione 7.2'!G63,$Q$49=1)</f>
        <v>1</v>
      </c>
      <c r="G258" s="6" t="b">
        <f>AND($C$33&lt;='Simulazione 7.2'!H63,$Q$49=1)</f>
        <v>1</v>
      </c>
      <c r="H258" s="6" t="b">
        <f>AND($C$33&lt;='Simulazione 7.2'!I63,$Q$49=1)</f>
        <v>1</v>
      </c>
      <c r="I258" s="6" t="b">
        <f>AND($C$33&lt;='Simulazione 7.2'!J63,$Q$49=1)</f>
        <v>1</v>
      </c>
      <c r="J258" s="6" t="b">
        <f>AND($C$33&lt;='Simulazione 7.2'!K63,$Q$49=1)</f>
        <v>1</v>
      </c>
      <c r="K258" s="6" t="b">
        <f>AND($C$33&lt;='Simulazione 7.2'!L63,$Q$49=1)</f>
        <v>1</v>
      </c>
      <c r="L258" s="6" t="b">
        <f>AND($C$33&lt;='Simulazione 7.2'!M63,$Q$49=1)</f>
        <v>1</v>
      </c>
      <c r="M258" s="6" t="b">
        <f>AND($C$33&lt;='Simulazione 7.2'!N63,$Q$49=1)</f>
        <v>1</v>
      </c>
      <c r="N258" s="6" t="b">
        <f>AND($C$33&lt;='Simulazione 7.2'!O63,$Q$49=1)</f>
        <v>1</v>
      </c>
      <c r="O258" s="6" t="b">
        <f>AND($C$33&lt;='Simulazione 7.2'!P63,$Q$49=1)</f>
        <v>1</v>
      </c>
      <c r="P258" s="6" t="b">
        <f>AND($C$33&lt;='Simulazione 7.2'!Q63,$Q$49=1)</f>
        <v>1</v>
      </c>
      <c r="Q258" s="6" t="b">
        <f>AND($C$33&lt;='Simulazione 7.2'!R63,$Q$49=1)</f>
        <v>1</v>
      </c>
      <c r="R258" s="6" t="b">
        <f>AND($C$33&lt;='Simulazione 7.2'!S63,$Q$49=1)</f>
        <v>1</v>
      </c>
      <c r="S258" s="6" t="b">
        <f>AND($C$33&lt;='Simulazione 7.2'!T63,$Q$49=1)</f>
        <v>1</v>
      </c>
      <c r="T258" s="6" t="b">
        <f>AND($C$33&lt;='Simulazione 7.2'!U63,$Q$49=1)</f>
        <v>1</v>
      </c>
      <c r="U258" s="6" t="b">
        <f>AND($C$33&lt;='Simulazione 7.2'!V63,$Q$49=1)</f>
        <v>1</v>
      </c>
      <c r="V258" s="6" t="b">
        <f>AND($C$33&lt;='Simulazione 7.2'!W63,$Q$49=1)</f>
        <v>1</v>
      </c>
      <c r="W258" s="6" t="b">
        <f>AND($C$33&lt;='Simulazione 7.2'!X63,$Q$49=1)</f>
        <v>1</v>
      </c>
      <c r="X258" s="6" t="b">
        <f>AND($C$33&lt;='Simulazione 7.2'!Y63,$Q$49=1)</f>
        <v>1</v>
      </c>
      <c r="Y258" s="6" t="b">
        <f>AND($C$33&lt;='Simulazione 7.2'!Z63,$Q$49=1)</f>
        <v>1</v>
      </c>
      <c r="Z258" s="6" t="b">
        <f>AND($C$33&lt;='Simulazione 7.2'!AA63,$Q$49=1)</f>
        <v>1</v>
      </c>
      <c r="AA258" s="6" t="b">
        <f>AND($C$33&lt;='Simulazione 7.2'!AB63,$Q$49=1)</f>
        <v>1</v>
      </c>
      <c r="AB258" s="6" t="b">
        <f>AND($C$33&lt;='Simulazione 7.2'!AC63,$Q$49=1)</f>
        <v>1</v>
      </c>
    </row>
    <row r="260" spans="3:28">
      <c r="C260" s="6" t="s">
        <v>27</v>
      </c>
    </row>
    <row r="262" spans="3:28">
      <c r="D262" s="158">
        <f>IF(Calcoli!$Q$49=1,'Simulazione 7.2'!C31,0)</f>
        <v>2500</v>
      </c>
      <c r="E262" s="100">
        <f>D262+D262/100*'Simulazione 7.2'!$C$47</f>
        <v>2550</v>
      </c>
      <c r="F262" s="100">
        <f>E262+E262/100*'Simulazione 7.2'!$C$47</f>
        <v>2601</v>
      </c>
      <c r="G262" s="100">
        <f>F262+F262/100*'Simulazione 7.2'!$C$47</f>
        <v>2653.02</v>
      </c>
      <c r="H262" s="100">
        <f>G262+G262/100*'Simulazione 7.2'!$C$47</f>
        <v>2706.0803999999998</v>
      </c>
      <c r="I262" s="100">
        <f>H262+H262/100*'Simulazione 7.2'!$C$47</f>
        <v>2760.2020079999998</v>
      </c>
      <c r="J262" s="100">
        <f>I262+I262/100*'Simulazione 7.2'!$C$47</f>
        <v>2815.40604816</v>
      </c>
      <c r="K262" s="100">
        <f>J262+J262/100*'Simulazione 7.2'!$C$47</f>
        <v>2871.7141691232</v>
      </c>
      <c r="L262" s="100">
        <f>K262+K262/100*'Simulazione 7.2'!$C$47</f>
        <v>2929.148452505664</v>
      </c>
      <c r="M262" s="100">
        <f>L262+L262/100*'Simulazione 7.2'!$C$47</f>
        <v>2987.7314215557772</v>
      </c>
      <c r="N262" s="100">
        <f>M262+M262/100*'Simulazione 7.2'!$C$47</f>
        <v>3047.4860499868928</v>
      </c>
      <c r="O262" s="100">
        <f>N262+N262/100*'Simulazione 7.2'!$C$47</f>
        <v>3108.4357709866308</v>
      </c>
      <c r="P262" s="100">
        <f>O262+O262/100*'Simulazione 7.2'!$C$47</f>
        <v>3170.6044864063633</v>
      </c>
      <c r="Q262" s="100">
        <f>P262+P262/100*'Simulazione 7.2'!$C$47</f>
        <v>3234.0165761344906</v>
      </c>
      <c r="R262" s="100">
        <f>Q262+Q262/100*'Simulazione 7.2'!$C$47</f>
        <v>3298.6969076571804</v>
      </c>
      <c r="S262" s="100">
        <f>R262+R262/100*'Simulazione 7.2'!$C$47</f>
        <v>3364.670845810324</v>
      </c>
      <c r="T262" s="100">
        <f>S262+S262/100*'Simulazione 7.2'!$C$47</f>
        <v>3431.9642627265303</v>
      </c>
      <c r="U262" s="100">
        <f>T262+T262/100*'Simulazione 7.2'!$C$47</f>
        <v>3500.6035479810607</v>
      </c>
      <c r="V262" s="100">
        <f>U262+U262/100*'Simulazione 7.2'!$C$47</f>
        <v>3570.615618940682</v>
      </c>
      <c r="W262" s="100">
        <f>V262+V262/100*'Simulazione 7.2'!$C$47</f>
        <v>3642.0279313194956</v>
      </c>
      <c r="X262" s="100">
        <f>W262+W262/100*'Simulazione 7.2'!$C$47</f>
        <v>3714.8684899458854</v>
      </c>
      <c r="Y262" s="100">
        <f>X262+X262/100*'Simulazione 7.2'!$C$47</f>
        <v>3789.1658597448031</v>
      </c>
      <c r="Z262" s="100">
        <f>Y262+Y262/100*'Simulazione 7.2'!$C$47</f>
        <v>3864.9491769396991</v>
      </c>
      <c r="AA262" s="100">
        <f>Z262+Z262/100*'Simulazione 7.2'!$C$47</f>
        <v>3942.248160478493</v>
      </c>
      <c r="AB262" s="100">
        <f>AA262+AA262/100*'Simulazione 7.2'!$C$47</f>
        <v>4021.0931236880629</v>
      </c>
    </row>
    <row r="265" spans="3:28">
      <c r="C265" s="6" t="s">
        <v>191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D119:F119"/>
    <mergeCell ref="F190:G190"/>
    <mergeCell ref="F198:G198"/>
    <mergeCell ref="F206:G206"/>
    <mergeCell ref="F214:G214"/>
    <mergeCell ref="F122:G122"/>
    <mergeCell ref="L122:M122"/>
    <mergeCell ref="F132:G132"/>
    <mergeCell ref="L132:M132"/>
    <mergeCell ref="F183:G183"/>
    <mergeCell ref="L183:M183"/>
    <mergeCell ref="D180:F180"/>
    <mergeCell ref="F11:G11"/>
    <mergeCell ref="L11:M11"/>
    <mergeCell ref="F21:G21"/>
    <mergeCell ref="L21:M21"/>
    <mergeCell ref="D1:D5"/>
    <mergeCell ref="D7:D8"/>
    <mergeCell ref="U2:AA2"/>
    <mergeCell ref="U3:AA3"/>
    <mergeCell ref="U4:AA4"/>
    <mergeCell ref="U5:AA5"/>
    <mergeCell ref="U6:AA6"/>
    <mergeCell ref="U12:AA12"/>
    <mergeCell ref="U13:AA13"/>
    <mergeCell ref="U14:AA14"/>
    <mergeCell ref="U15:AA15"/>
    <mergeCell ref="U7:AA7"/>
    <mergeCell ref="U8:AA8"/>
    <mergeCell ref="U9:AA9"/>
    <mergeCell ref="U10:AA10"/>
    <mergeCell ref="U11:AA11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8</vt:i4>
      </vt:variant>
    </vt:vector>
  </HeadingPairs>
  <TitlesOfParts>
    <vt:vector size="11" baseType="lpstr">
      <vt:lpstr>Simulazione 7.2</vt:lpstr>
      <vt:lpstr>Finanziamento</vt:lpstr>
      <vt:lpstr>Calcoli</vt:lpstr>
      <vt:lpstr>'Simulazione 7.2'!Area_stampa</vt:lpstr>
      <vt:lpstr>Interest_Rate</vt:lpstr>
      <vt:lpstr>Loan_Amount</vt:lpstr>
      <vt:lpstr>Loan_Start</vt:lpstr>
      <vt:lpstr>Loan_Years</vt:lpstr>
      <vt:lpstr>Number_of_Payments</vt:lpstr>
      <vt:lpstr>Total_Cost</vt:lpstr>
      <vt:lpstr>Total_Interest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2012-08-02T12:57:15Z</cp:lastPrinted>
  <dcterms:created xsi:type="dcterms:W3CDTF">2012-05-08T21:23:52Z</dcterms:created>
  <dcterms:modified xsi:type="dcterms:W3CDTF">2012-09-18T13:36:53Z</dcterms:modified>
</cp:coreProperties>
</file>