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8.4" sheetId="1" r:id="rId1"/>
    <sheet name="Finanziamento" sheetId="7" r:id="rId2"/>
    <sheet name="Calcoli" sheetId="6" r:id="rId3"/>
    <sheet name="Autoconsumo" sheetId="8" r:id="rId4"/>
  </sheets>
  <externalReferences>
    <externalReference r:id="rId5"/>
  </externalReferences>
  <definedNames>
    <definedName name="a">#REF!</definedName>
    <definedName name="_xlnm.Print_Area" localSheetId="0">'Simulazione 8.4'!$A$1:$AC$101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concurrentCalc="0" forceFullCalc="1"/>
</workbook>
</file>

<file path=xl/calcChain.xml><?xml version="1.0" encoding="utf-8"?>
<calcChain xmlns="http://schemas.openxmlformats.org/spreadsheetml/2006/main">
  <c r="C35" i="1"/>
  <c r="B119" i="8"/>
  <c r="C115"/>
  <c r="J176"/>
  <c r="J180"/>
  <c r="AA70"/>
  <c r="J164"/>
  <c r="J168"/>
  <c r="K70"/>
  <c r="K101"/>
  <c r="AA71"/>
  <c r="K71"/>
  <c r="K102"/>
  <c r="AA72"/>
  <c r="K72"/>
  <c r="K103"/>
  <c r="AA73"/>
  <c r="K73"/>
  <c r="K104"/>
  <c r="AA74"/>
  <c r="K74"/>
  <c r="K105"/>
  <c r="AA75"/>
  <c r="K75"/>
  <c r="K106"/>
  <c r="AA76"/>
  <c r="K76"/>
  <c r="K107"/>
  <c r="AA77"/>
  <c r="K77"/>
  <c r="K108"/>
  <c r="AA78"/>
  <c r="K78"/>
  <c r="K109"/>
  <c r="AA79"/>
  <c r="K79"/>
  <c r="K110"/>
  <c r="AA80"/>
  <c r="K80"/>
  <c r="K111"/>
  <c r="AA81"/>
  <c r="K81"/>
  <c r="K112"/>
  <c r="AA82"/>
  <c r="K82"/>
  <c r="K113"/>
  <c r="AA83"/>
  <c r="K83"/>
  <c r="K114"/>
  <c r="AA84"/>
  <c r="K84"/>
  <c r="K115"/>
  <c r="AA85"/>
  <c r="K85"/>
  <c r="K117"/>
  <c r="AA86"/>
  <c r="K86"/>
  <c r="K118"/>
  <c r="AA87"/>
  <c r="K87"/>
  <c r="K119"/>
  <c r="AA88"/>
  <c r="K88"/>
  <c r="K120"/>
  <c r="AA89"/>
  <c r="K89"/>
  <c r="K121"/>
  <c r="AA90"/>
  <c r="K90"/>
  <c r="K122"/>
  <c r="AA91"/>
  <c r="K91"/>
  <c r="K123"/>
  <c r="AA92"/>
  <c r="K92"/>
  <c r="K124"/>
  <c r="AA93"/>
  <c r="K93"/>
  <c r="K125"/>
  <c r="K126"/>
  <c r="K127"/>
  <c r="K180"/>
  <c r="AB70"/>
  <c r="K168"/>
  <c r="L70"/>
  <c r="L101"/>
  <c r="AB71"/>
  <c r="L71"/>
  <c r="L102"/>
  <c r="AB72"/>
  <c r="L72"/>
  <c r="L103"/>
  <c r="AB73"/>
  <c r="L73"/>
  <c r="L104"/>
  <c r="AB74"/>
  <c r="L74"/>
  <c r="L105"/>
  <c r="AB75"/>
  <c r="L75"/>
  <c r="L106"/>
  <c r="AB76"/>
  <c r="L76"/>
  <c r="L107"/>
  <c r="AB77"/>
  <c r="L77"/>
  <c r="L108"/>
  <c r="AB78"/>
  <c r="L78"/>
  <c r="L109"/>
  <c r="AB79"/>
  <c r="L79"/>
  <c r="L110"/>
  <c r="AB80"/>
  <c r="L80"/>
  <c r="L111"/>
  <c r="AB81"/>
  <c r="L81"/>
  <c r="L112"/>
  <c r="AB82"/>
  <c r="L82"/>
  <c r="L113"/>
  <c r="AB83"/>
  <c r="L83"/>
  <c r="L114"/>
  <c r="AB84"/>
  <c r="L84"/>
  <c r="L115"/>
  <c r="AB85"/>
  <c r="L85"/>
  <c r="L117"/>
  <c r="AB86"/>
  <c r="L86"/>
  <c r="L118"/>
  <c r="AB87"/>
  <c r="L87"/>
  <c r="L119"/>
  <c r="AB88"/>
  <c r="L88"/>
  <c r="L120"/>
  <c r="AB89"/>
  <c r="L89"/>
  <c r="L121"/>
  <c r="AB90"/>
  <c r="L90"/>
  <c r="L122"/>
  <c r="AB91"/>
  <c r="L91"/>
  <c r="L123"/>
  <c r="AB92"/>
  <c r="L92"/>
  <c r="L124"/>
  <c r="AB93"/>
  <c r="L93"/>
  <c r="L125"/>
  <c r="L126"/>
  <c r="L127"/>
  <c r="L180"/>
  <c r="AC70"/>
  <c r="L168"/>
  <c r="M70"/>
  <c r="M101"/>
  <c r="AC71"/>
  <c r="M71"/>
  <c r="M102"/>
  <c r="AC72"/>
  <c r="M72"/>
  <c r="M103"/>
  <c r="AC73"/>
  <c r="M73"/>
  <c r="M104"/>
  <c r="AC74"/>
  <c r="M74"/>
  <c r="M105"/>
  <c r="AC75"/>
  <c r="M75"/>
  <c r="M106"/>
  <c r="AC76"/>
  <c r="M76"/>
  <c r="M107"/>
  <c r="AC77"/>
  <c r="M77"/>
  <c r="M108"/>
  <c r="AC78"/>
  <c r="M78"/>
  <c r="M109"/>
  <c r="AC79"/>
  <c r="M79"/>
  <c r="M110"/>
  <c r="AC80"/>
  <c r="M80"/>
  <c r="M111"/>
  <c r="AC81"/>
  <c r="M81"/>
  <c r="M112"/>
  <c r="AC82"/>
  <c r="M82"/>
  <c r="M113"/>
  <c r="AC83"/>
  <c r="M83"/>
  <c r="M114"/>
  <c r="AC84"/>
  <c r="M84"/>
  <c r="M115"/>
  <c r="AC85"/>
  <c r="M85"/>
  <c r="M117"/>
  <c r="AC86"/>
  <c r="M86"/>
  <c r="M118"/>
  <c r="AC87"/>
  <c r="M87"/>
  <c r="M119"/>
  <c r="AC88"/>
  <c r="M88"/>
  <c r="M120"/>
  <c r="AC89"/>
  <c r="M89"/>
  <c r="M121"/>
  <c r="AC90"/>
  <c r="M90"/>
  <c r="M122"/>
  <c r="AC91"/>
  <c r="M91"/>
  <c r="M123"/>
  <c r="AC92"/>
  <c r="M92"/>
  <c r="M124"/>
  <c r="AC93"/>
  <c r="M93"/>
  <c r="M125"/>
  <c r="M126"/>
  <c r="M127"/>
  <c r="M180"/>
  <c r="AD70"/>
  <c r="M168"/>
  <c r="N70"/>
  <c r="N101"/>
  <c r="AD71"/>
  <c r="N71"/>
  <c r="N102"/>
  <c r="AD72"/>
  <c r="N72"/>
  <c r="N103"/>
  <c r="AD73"/>
  <c r="N73"/>
  <c r="N104"/>
  <c r="AD74"/>
  <c r="N74"/>
  <c r="N105"/>
  <c r="AD75"/>
  <c r="N75"/>
  <c r="N106"/>
  <c r="AD76"/>
  <c r="N76"/>
  <c r="N107"/>
  <c r="AD77"/>
  <c r="N77"/>
  <c r="N108"/>
  <c r="AD78"/>
  <c r="N78"/>
  <c r="N109"/>
  <c r="AD79"/>
  <c r="N79"/>
  <c r="N110"/>
  <c r="AD80"/>
  <c r="N80"/>
  <c r="N111"/>
  <c r="AD81"/>
  <c r="N81"/>
  <c r="N112"/>
  <c r="AD82"/>
  <c r="N82"/>
  <c r="N113"/>
  <c r="AD83"/>
  <c r="N83"/>
  <c r="N114"/>
  <c r="AD84"/>
  <c r="N84"/>
  <c r="N115"/>
  <c r="AD85"/>
  <c r="N85"/>
  <c r="N117"/>
  <c r="AD86"/>
  <c r="N86"/>
  <c r="N118"/>
  <c r="AD87"/>
  <c r="N87"/>
  <c r="N119"/>
  <c r="AD88"/>
  <c r="N88"/>
  <c r="N120"/>
  <c r="AD89"/>
  <c r="N89"/>
  <c r="N121"/>
  <c r="AD90"/>
  <c r="N90"/>
  <c r="N122"/>
  <c r="AD91"/>
  <c r="N91"/>
  <c r="N123"/>
  <c r="AD92"/>
  <c r="N92"/>
  <c r="N124"/>
  <c r="AD93"/>
  <c r="N93"/>
  <c r="N125"/>
  <c r="N126"/>
  <c r="N127"/>
  <c r="N180"/>
  <c r="AE70"/>
  <c r="N168"/>
  <c r="O70"/>
  <c r="O101"/>
  <c r="AE71"/>
  <c r="O71"/>
  <c r="O102"/>
  <c r="AE72"/>
  <c r="O72"/>
  <c r="O103"/>
  <c r="AE73"/>
  <c r="O73"/>
  <c r="O104"/>
  <c r="AE74"/>
  <c r="O74"/>
  <c r="O105"/>
  <c r="AE75"/>
  <c r="O75"/>
  <c r="O106"/>
  <c r="AE76"/>
  <c r="O76"/>
  <c r="O107"/>
  <c r="AE77"/>
  <c r="O77"/>
  <c r="O108"/>
  <c r="AE78"/>
  <c r="O78"/>
  <c r="O109"/>
  <c r="AE79"/>
  <c r="O79"/>
  <c r="O110"/>
  <c r="AE80"/>
  <c r="O80"/>
  <c r="O111"/>
  <c r="AE81"/>
  <c r="O81"/>
  <c r="O112"/>
  <c r="AE82"/>
  <c r="O82"/>
  <c r="O113"/>
  <c r="AE83"/>
  <c r="O83"/>
  <c r="O114"/>
  <c r="AE84"/>
  <c r="O84"/>
  <c r="O115"/>
  <c r="AE85"/>
  <c r="O85"/>
  <c r="O117"/>
  <c r="AE86"/>
  <c r="O86"/>
  <c r="O118"/>
  <c r="AE87"/>
  <c r="O87"/>
  <c r="O119"/>
  <c r="AE88"/>
  <c r="O88"/>
  <c r="O120"/>
  <c r="AE89"/>
  <c r="O89"/>
  <c r="O121"/>
  <c r="AE90"/>
  <c r="O90"/>
  <c r="O122"/>
  <c r="AE91"/>
  <c r="O91"/>
  <c r="O123"/>
  <c r="AE92"/>
  <c r="O92"/>
  <c r="O124"/>
  <c r="AE93"/>
  <c r="O93"/>
  <c r="O125"/>
  <c r="O126"/>
  <c r="O127"/>
  <c r="O180"/>
  <c r="AF70"/>
  <c r="O168"/>
  <c r="P70"/>
  <c r="P101"/>
  <c r="AF71"/>
  <c r="P71"/>
  <c r="P102"/>
  <c r="AF72"/>
  <c r="P72"/>
  <c r="P103"/>
  <c r="AF73"/>
  <c r="P73"/>
  <c r="P104"/>
  <c r="AF74"/>
  <c r="P74"/>
  <c r="P105"/>
  <c r="AF75"/>
  <c r="P75"/>
  <c r="P106"/>
  <c r="AF76"/>
  <c r="P76"/>
  <c r="P107"/>
  <c r="AF77"/>
  <c r="P77"/>
  <c r="P108"/>
  <c r="AF78"/>
  <c r="P78"/>
  <c r="P109"/>
  <c r="AF79"/>
  <c r="P79"/>
  <c r="P110"/>
  <c r="AF80"/>
  <c r="P80"/>
  <c r="P111"/>
  <c r="AF81"/>
  <c r="P81"/>
  <c r="P112"/>
  <c r="AF82"/>
  <c r="P82"/>
  <c r="P113"/>
  <c r="AF83"/>
  <c r="P83"/>
  <c r="P114"/>
  <c r="AF84"/>
  <c r="P84"/>
  <c r="P115"/>
  <c r="AF85"/>
  <c r="P85"/>
  <c r="P117"/>
  <c r="AF86"/>
  <c r="P86"/>
  <c r="P118"/>
  <c r="AF87"/>
  <c r="P87"/>
  <c r="P119"/>
  <c r="AF88"/>
  <c r="P88"/>
  <c r="P120"/>
  <c r="AF89"/>
  <c r="P89"/>
  <c r="P121"/>
  <c r="AF90"/>
  <c r="P90"/>
  <c r="P122"/>
  <c r="AF91"/>
  <c r="P91"/>
  <c r="P123"/>
  <c r="AF92"/>
  <c r="P92"/>
  <c r="P124"/>
  <c r="AF93"/>
  <c r="P93"/>
  <c r="P125"/>
  <c r="P126"/>
  <c r="P127"/>
  <c r="J182"/>
  <c r="AG70"/>
  <c r="J170"/>
  <c r="Q70"/>
  <c r="Q101"/>
  <c r="AG71"/>
  <c r="Q71"/>
  <c r="Q102"/>
  <c r="AG72"/>
  <c r="Q72"/>
  <c r="Q103"/>
  <c r="AG73"/>
  <c r="Q73"/>
  <c r="Q104"/>
  <c r="AG74"/>
  <c r="Q74"/>
  <c r="Q105"/>
  <c r="AG75"/>
  <c r="Q75"/>
  <c r="Q106"/>
  <c r="AG76"/>
  <c r="Q76"/>
  <c r="Q107"/>
  <c r="AG77"/>
  <c r="Q77"/>
  <c r="Q108"/>
  <c r="AG78"/>
  <c r="Q78"/>
  <c r="Q109"/>
  <c r="AG79"/>
  <c r="Q79"/>
  <c r="Q110"/>
  <c r="AG80"/>
  <c r="Q80"/>
  <c r="Q111"/>
  <c r="AG81"/>
  <c r="Q81"/>
  <c r="Q112"/>
  <c r="AG82"/>
  <c r="Q82"/>
  <c r="Q113"/>
  <c r="AG83"/>
  <c r="Q83"/>
  <c r="Q114"/>
  <c r="AG84"/>
  <c r="Q84"/>
  <c r="Q115"/>
  <c r="AG85"/>
  <c r="Q85"/>
  <c r="Q117"/>
  <c r="AG86"/>
  <c r="Q86"/>
  <c r="Q118"/>
  <c r="AG87"/>
  <c r="Q87"/>
  <c r="Q119"/>
  <c r="AG88"/>
  <c r="Q88"/>
  <c r="Q120"/>
  <c r="AG89"/>
  <c r="Q89"/>
  <c r="Q121"/>
  <c r="AG90"/>
  <c r="Q90"/>
  <c r="Q122"/>
  <c r="AG91"/>
  <c r="Q91"/>
  <c r="Q123"/>
  <c r="AG92"/>
  <c r="Q92"/>
  <c r="Q124"/>
  <c r="AG93"/>
  <c r="Q93"/>
  <c r="Q125"/>
  <c r="Q126"/>
  <c r="Q127"/>
  <c r="K182"/>
  <c r="AH70"/>
  <c r="K170"/>
  <c r="R70"/>
  <c r="R101"/>
  <c r="AH71"/>
  <c r="R71"/>
  <c r="R102"/>
  <c r="AH72"/>
  <c r="R72"/>
  <c r="R103"/>
  <c r="AH73"/>
  <c r="R73"/>
  <c r="R104"/>
  <c r="AH74"/>
  <c r="R74"/>
  <c r="R105"/>
  <c r="AH75"/>
  <c r="R75"/>
  <c r="R106"/>
  <c r="AH76"/>
  <c r="R76"/>
  <c r="R107"/>
  <c r="AH77"/>
  <c r="R77"/>
  <c r="R108"/>
  <c r="AH78"/>
  <c r="R78"/>
  <c r="R109"/>
  <c r="AH79"/>
  <c r="R79"/>
  <c r="R110"/>
  <c r="AH80"/>
  <c r="R80"/>
  <c r="R111"/>
  <c r="AH81"/>
  <c r="R81"/>
  <c r="R112"/>
  <c r="AH82"/>
  <c r="R82"/>
  <c r="R113"/>
  <c r="AH83"/>
  <c r="R83"/>
  <c r="R114"/>
  <c r="AH84"/>
  <c r="R84"/>
  <c r="R115"/>
  <c r="AH85"/>
  <c r="R85"/>
  <c r="R117"/>
  <c r="AH86"/>
  <c r="R86"/>
  <c r="R118"/>
  <c r="AH87"/>
  <c r="R87"/>
  <c r="R119"/>
  <c r="AH88"/>
  <c r="R88"/>
  <c r="R120"/>
  <c r="AH89"/>
  <c r="R89"/>
  <c r="R121"/>
  <c r="AH90"/>
  <c r="R90"/>
  <c r="R122"/>
  <c r="AH91"/>
  <c r="R91"/>
  <c r="R123"/>
  <c r="AH92"/>
  <c r="R92"/>
  <c r="R124"/>
  <c r="AH93"/>
  <c r="R93"/>
  <c r="R125"/>
  <c r="R126"/>
  <c r="R127"/>
  <c r="L182"/>
  <c r="AI70"/>
  <c r="L170"/>
  <c r="S70"/>
  <c r="S101"/>
  <c r="AI71"/>
  <c r="S71"/>
  <c r="S102"/>
  <c r="AI72"/>
  <c r="S72"/>
  <c r="S103"/>
  <c r="AI73"/>
  <c r="S73"/>
  <c r="S104"/>
  <c r="AI74"/>
  <c r="S74"/>
  <c r="S105"/>
  <c r="AI75"/>
  <c r="S75"/>
  <c r="S106"/>
  <c r="AI76"/>
  <c r="S76"/>
  <c r="S107"/>
  <c r="AI77"/>
  <c r="S77"/>
  <c r="S108"/>
  <c r="AI78"/>
  <c r="S78"/>
  <c r="S109"/>
  <c r="AI79"/>
  <c r="S79"/>
  <c r="S110"/>
  <c r="AI80"/>
  <c r="S80"/>
  <c r="S111"/>
  <c r="AI81"/>
  <c r="S81"/>
  <c r="S112"/>
  <c r="AI82"/>
  <c r="S82"/>
  <c r="S113"/>
  <c r="AI83"/>
  <c r="S83"/>
  <c r="S114"/>
  <c r="AI84"/>
  <c r="S84"/>
  <c r="S115"/>
  <c r="AI85"/>
  <c r="S85"/>
  <c r="S117"/>
  <c r="AI86"/>
  <c r="S86"/>
  <c r="S118"/>
  <c r="AI87"/>
  <c r="S87"/>
  <c r="S119"/>
  <c r="AI88"/>
  <c r="S88"/>
  <c r="S120"/>
  <c r="AI89"/>
  <c r="S89"/>
  <c r="S121"/>
  <c r="AI90"/>
  <c r="S90"/>
  <c r="S122"/>
  <c r="AI91"/>
  <c r="S91"/>
  <c r="S123"/>
  <c r="AI92"/>
  <c r="S92"/>
  <c r="S124"/>
  <c r="AI93"/>
  <c r="S93"/>
  <c r="S125"/>
  <c r="S126"/>
  <c r="S127"/>
  <c r="M182"/>
  <c r="AJ70"/>
  <c r="M170"/>
  <c r="T70"/>
  <c r="T101"/>
  <c r="AJ71"/>
  <c r="T71"/>
  <c r="T102"/>
  <c r="AJ72"/>
  <c r="T72"/>
  <c r="T103"/>
  <c r="AJ73"/>
  <c r="T73"/>
  <c r="T104"/>
  <c r="AJ74"/>
  <c r="T74"/>
  <c r="T105"/>
  <c r="AJ75"/>
  <c r="T75"/>
  <c r="T106"/>
  <c r="AJ76"/>
  <c r="T76"/>
  <c r="T107"/>
  <c r="AJ77"/>
  <c r="T77"/>
  <c r="T108"/>
  <c r="AJ78"/>
  <c r="T78"/>
  <c r="T109"/>
  <c r="AJ79"/>
  <c r="T79"/>
  <c r="T110"/>
  <c r="AJ80"/>
  <c r="T80"/>
  <c r="T111"/>
  <c r="AJ81"/>
  <c r="T81"/>
  <c r="T112"/>
  <c r="AJ82"/>
  <c r="T82"/>
  <c r="T113"/>
  <c r="AJ83"/>
  <c r="T83"/>
  <c r="T114"/>
  <c r="AJ84"/>
  <c r="T84"/>
  <c r="T115"/>
  <c r="AJ85"/>
  <c r="T85"/>
  <c r="T117"/>
  <c r="AJ86"/>
  <c r="T86"/>
  <c r="T118"/>
  <c r="AJ87"/>
  <c r="T87"/>
  <c r="T119"/>
  <c r="AJ88"/>
  <c r="T88"/>
  <c r="T120"/>
  <c r="AJ89"/>
  <c r="T89"/>
  <c r="T121"/>
  <c r="AJ90"/>
  <c r="T90"/>
  <c r="T122"/>
  <c r="AJ91"/>
  <c r="T91"/>
  <c r="T123"/>
  <c r="AJ92"/>
  <c r="T92"/>
  <c r="T124"/>
  <c r="AJ93"/>
  <c r="T93"/>
  <c r="T125"/>
  <c r="T126"/>
  <c r="T127"/>
  <c r="N182"/>
  <c r="AK70"/>
  <c r="N170"/>
  <c r="U70"/>
  <c r="U101"/>
  <c r="AK71"/>
  <c r="U71"/>
  <c r="U102"/>
  <c r="AK72"/>
  <c r="U72"/>
  <c r="U103"/>
  <c r="AK73"/>
  <c r="U73"/>
  <c r="U104"/>
  <c r="AK74"/>
  <c r="U74"/>
  <c r="U105"/>
  <c r="AK75"/>
  <c r="U75"/>
  <c r="U106"/>
  <c r="AK76"/>
  <c r="U76"/>
  <c r="U107"/>
  <c r="AK77"/>
  <c r="U77"/>
  <c r="U108"/>
  <c r="AK78"/>
  <c r="U78"/>
  <c r="U109"/>
  <c r="AK79"/>
  <c r="U79"/>
  <c r="U110"/>
  <c r="AK80"/>
  <c r="U80"/>
  <c r="U111"/>
  <c r="AK81"/>
  <c r="U81"/>
  <c r="U112"/>
  <c r="AK82"/>
  <c r="U82"/>
  <c r="U113"/>
  <c r="AK83"/>
  <c r="U83"/>
  <c r="U114"/>
  <c r="AK84"/>
  <c r="U84"/>
  <c r="U115"/>
  <c r="AK85"/>
  <c r="U85"/>
  <c r="U117"/>
  <c r="AK86"/>
  <c r="U86"/>
  <c r="U118"/>
  <c r="AK87"/>
  <c r="U87"/>
  <c r="U119"/>
  <c r="AK88"/>
  <c r="U88"/>
  <c r="U120"/>
  <c r="AK89"/>
  <c r="U89"/>
  <c r="U121"/>
  <c r="AK90"/>
  <c r="U90"/>
  <c r="U122"/>
  <c r="AK91"/>
  <c r="U91"/>
  <c r="U123"/>
  <c r="AK92"/>
  <c r="U92"/>
  <c r="U124"/>
  <c r="AK93"/>
  <c r="U93"/>
  <c r="U125"/>
  <c r="U126"/>
  <c r="U127"/>
  <c r="O182"/>
  <c r="AL70"/>
  <c r="O170"/>
  <c r="V70"/>
  <c r="V101"/>
  <c r="AL71"/>
  <c r="V71"/>
  <c r="V102"/>
  <c r="AL72"/>
  <c r="V72"/>
  <c r="V103"/>
  <c r="AL73"/>
  <c r="V73"/>
  <c r="V104"/>
  <c r="AL74"/>
  <c r="V74"/>
  <c r="V105"/>
  <c r="AL75"/>
  <c r="V75"/>
  <c r="V106"/>
  <c r="AL76"/>
  <c r="V76"/>
  <c r="V107"/>
  <c r="AL77"/>
  <c r="V77"/>
  <c r="V108"/>
  <c r="AL78"/>
  <c r="V78"/>
  <c r="V109"/>
  <c r="AL79"/>
  <c r="V79"/>
  <c r="V110"/>
  <c r="AL80"/>
  <c r="V80"/>
  <c r="V111"/>
  <c r="AL81"/>
  <c r="V81"/>
  <c r="V112"/>
  <c r="AL82"/>
  <c r="V82"/>
  <c r="V113"/>
  <c r="AL83"/>
  <c r="V83"/>
  <c r="V114"/>
  <c r="AL84"/>
  <c r="V84"/>
  <c r="V115"/>
  <c r="AL85"/>
  <c r="V85"/>
  <c r="V117"/>
  <c r="AL86"/>
  <c r="V86"/>
  <c r="V118"/>
  <c r="AL87"/>
  <c r="V87"/>
  <c r="V119"/>
  <c r="AL88"/>
  <c r="V88"/>
  <c r="V120"/>
  <c r="AL89"/>
  <c r="V89"/>
  <c r="V121"/>
  <c r="AL90"/>
  <c r="V90"/>
  <c r="V122"/>
  <c r="AL91"/>
  <c r="V91"/>
  <c r="V123"/>
  <c r="AL92"/>
  <c r="V92"/>
  <c r="V124"/>
  <c r="AL93"/>
  <c r="V93"/>
  <c r="V125"/>
  <c r="V126"/>
  <c r="V127"/>
  <c r="W127"/>
  <c r="B1" i="6"/>
  <c r="C119" i="8"/>
  <c r="D119"/>
  <c r="E74" i="1"/>
  <c r="D13" i="6"/>
  <c r="H13"/>
  <c r="D14"/>
  <c r="H14"/>
  <c r="D15"/>
  <c r="H15"/>
  <c r="D16"/>
  <c r="H16"/>
  <c r="D17"/>
  <c r="H17"/>
  <c r="D18"/>
  <c r="H18"/>
  <c r="H19"/>
  <c r="D23"/>
  <c r="H23"/>
  <c r="D24"/>
  <c r="H24"/>
  <c r="D25"/>
  <c r="H25"/>
  <c r="D26"/>
  <c r="H26"/>
  <c r="D27"/>
  <c r="H27"/>
  <c r="D28"/>
  <c r="H28"/>
  <c r="H29"/>
  <c r="D33"/>
  <c r="H33"/>
  <c r="D34"/>
  <c r="H34"/>
  <c r="D35"/>
  <c r="H35"/>
  <c r="D36"/>
  <c r="H36"/>
  <c r="D37"/>
  <c r="H37"/>
  <c r="D38"/>
  <c r="H38"/>
  <c r="H39"/>
  <c r="D45"/>
  <c r="H45"/>
  <c r="D46"/>
  <c r="H46"/>
  <c r="D47"/>
  <c r="H47"/>
  <c r="D48"/>
  <c r="H48"/>
  <c r="D49"/>
  <c r="H49"/>
  <c r="D50"/>
  <c r="H50"/>
  <c r="H51"/>
  <c r="D59"/>
  <c r="H59"/>
  <c r="D60"/>
  <c r="H60"/>
  <c r="D61"/>
  <c r="H61"/>
  <c r="D62"/>
  <c r="H62"/>
  <c r="D63"/>
  <c r="H63"/>
  <c r="D64"/>
  <c r="H64"/>
  <c r="H65"/>
  <c r="N19"/>
  <c r="N29"/>
  <c r="N39"/>
  <c r="N51"/>
  <c r="N65"/>
  <c r="H130"/>
  <c r="H140"/>
  <c r="H150"/>
  <c r="H162"/>
  <c r="H176"/>
  <c r="H188"/>
  <c r="H195"/>
  <c r="H203"/>
  <c r="H211"/>
  <c r="H219"/>
  <c r="E25" i="1"/>
  <c r="M1" i="6"/>
  <c r="P1"/>
  <c r="R1"/>
  <c r="P2"/>
  <c r="R2"/>
  <c r="P3"/>
  <c r="R3"/>
  <c r="P4"/>
  <c r="R4"/>
  <c r="P5"/>
  <c r="R5"/>
  <c r="P6"/>
  <c r="R6"/>
  <c r="P7"/>
  <c r="R7"/>
  <c r="P8"/>
  <c r="R8"/>
  <c r="P9"/>
  <c r="R9"/>
  <c r="P10"/>
  <c r="R10"/>
  <c r="P11"/>
  <c r="R11"/>
  <c r="P12"/>
  <c r="R12"/>
  <c r="P13"/>
  <c r="R13"/>
  <c r="P14"/>
  <c r="R14"/>
  <c r="P15"/>
  <c r="R15"/>
  <c r="P16"/>
  <c r="R16"/>
  <c r="P17"/>
  <c r="R17"/>
  <c r="P18"/>
  <c r="R18"/>
  <c r="P19"/>
  <c r="R19"/>
  <c r="P20"/>
  <c r="R20"/>
  <c r="P21"/>
  <c r="R21"/>
  <c r="P22"/>
  <c r="R22"/>
  <c r="P23"/>
  <c r="R23"/>
  <c r="P24"/>
  <c r="R24"/>
  <c r="R27"/>
  <c r="F25" i="1"/>
  <c r="U6" i="6"/>
  <c r="D25" i="1"/>
  <c r="E76"/>
  <c r="E71"/>
  <c r="G13" i="6"/>
  <c r="I13"/>
  <c r="G14"/>
  <c r="I14"/>
  <c r="I15"/>
  <c r="I16"/>
  <c r="I17"/>
  <c r="I18"/>
  <c r="I19"/>
  <c r="I23"/>
  <c r="I24"/>
  <c r="I25"/>
  <c r="I26"/>
  <c r="I27"/>
  <c r="I28"/>
  <c r="I29"/>
  <c r="I33"/>
  <c r="I34"/>
  <c r="I35"/>
  <c r="I36"/>
  <c r="I37"/>
  <c r="I38"/>
  <c r="I39"/>
  <c r="I45"/>
  <c r="I46"/>
  <c r="I47"/>
  <c r="I48"/>
  <c r="I49"/>
  <c r="I50"/>
  <c r="I51"/>
  <c r="I59"/>
  <c r="I60"/>
  <c r="I61"/>
  <c r="I62"/>
  <c r="I63"/>
  <c r="I64"/>
  <c r="I65"/>
  <c r="O19"/>
  <c r="O29"/>
  <c r="O39"/>
  <c r="O51"/>
  <c r="O65"/>
  <c r="I130"/>
  <c r="I140"/>
  <c r="I150"/>
  <c r="I162"/>
  <c r="I176"/>
  <c r="I188"/>
  <c r="I195"/>
  <c r="I203"/>
  <c r="I211"/>
  <c r="I219"/>
  <c r="E26" i="1"/>
  <c r="F26"/>
  <c r="D26"/>
  <c r="E77"/>
  <c r="D256" i="6"/>
  <c r="C116" i="8"/>
  <c r="F119"/>
  <c r="E119"/>
  <c r="G119"/>
  <c r="E72" i="1"/>
  <c r="D239" i="6"/>
  <c r="E78" i="1"/>
  <c r="H119" i="8"/>
  <c r="E73" i="1"/>
  <c r="D251" i="6"/>
  <c r="E79" i="1"/>
  <c r="D236" i="6"/>
  <c r="E80" i="1"/>
  <c r="D265" i="6"/>
  <c r="E81" i="1"/>
  <c r="D247" i="6"/>
  <c r="E82" i="1"/>
  <c r="E83"/>
  <c r="I76" i="6"/>
  <c r="E87" i="1"/>
  <c r="I78" i="6"/>
  <c r="L72"/>
  <c r="I72"/>
  <c r="F78"/>
  <c r="D82"/>
  <c r="D81"/>
  <c r="D85"/>
  <c r="F79"/>
  <c r="D86"/>
  <c r="D88"/>
  <c r="E85" i="1"/>
  <c r="E91"/>
  <c r="C54"/>
  <c r="E93"/>
  <c r="C55"/>
  <c r="E94"/>
  <c r="D67" i="6"/>
  <c r="D68"/>
  <c r="E86" i="1"/>
  <c r="E88"/>
  <c r="I74" i="6"/>
  <c r="E89" i="1"/>
  <c r="J9" i="7"/>
  <c r="E90" i="1"/>
  <c r="O131" i="6"/>
  <c r="E92" i="1"/>
  <c r="O77" i="6"/>
  <c r="N72"/>
  <c r="P72"/>
  <c r="N73"/>
  <c r="P73"/>
  <c r="N74"/>
  <c r="P74"/>
  <c r="N75"/>
  <c r="P75"/>
  <c r="N76"/>
  <c r="P76"/>
  <c r="P77"/>
  <c r="C56" i="1"/>
  <c r="E95"/>
  <c r="E96"/>
  <c r="E97"/>
  <c r="E98"/>
  <c r="E101"/>
  <c r="B120" i="8"/>
  <c r="AA95"/>
  <c r="AB95"/>
  <c r="AC95"/>
  <c r="AD95"/>
  <c r="AE95"/>
  <c r="AF95"/>
  <c r="AG95"/>
  <c r="AH95"/>
  <c r="AI95"/>
  <c r="AJ95"/>
  <c r="AK95"/>
  <c r="AL95"/>
  <c r="AM95"/>
  <c r="W128"/>
  <c r="C120"/>
  <c r="D120"/>
  <c r="F74" i="1"/>
  <c r="F76"/>
  <c r="F71"/>
  <c r="F77"/>
  <c r="E256" i="6"/>
  <c r="Z3" i="8"/>
  <c r="F120"/>
  <c r="E120"/>
  <c r="G120"/>
  <c r="F72" i="1"/>
  <c r="E239" i="6"/>
  <c r="F78" i="1"/>
  <c r="H120" i="8"/>
  <c r="F73" i="1"/>
  <c r="E251" i="6"/>
  <c r="F79" i="1"/>
  <c r="F80"/>
  <c r="E265" i="6"/>
  <c r="F81" i="1"/>
  <c r="E247" i="6"/>
  <c r="F82" i="1"/>
  <c r="F83"/>
  <c r="F87"/>
  <c r="E82" i="6"/>
  <c r="E81"/>
  <c r="E85"/>
  <c r="E86"/>
  <c r="E88"/>
  <c r="F85" i="1"/>
  <c r="F91"/>
  <c r="F94"/>
  <c r="E67" i="6"/>
  <c r="E68"/>
  <c r="F86" i="1"/>
  <c r="F88"/>
  <c r="F89"/>
  <c r="K9" i="7"/>
  <c r="F90" i="1"/>
  <c r="P131" i="6"/>
  <c r="F92" i="1"/>
  <c r="F97"/>
  <c r="F98"/>
  <c r="F101"/>
  <c r="B121" i="8"/>
  <c r="C121"/>
  <c r="D121"/>
  <c r="G74" i="1"/>
  <c r="G76"/>
  <c r="G71"/>
  <c r="G77"/>
  <c r="F256" i="6"/>
  <c r="F121" i="8"/>
  <c r="E121"/>
  <c r="G121"/>
  <c r="G72" i="1"/>
  <c r="F239" i="6"/>
  <c r="G78" i="1"/>
  <c r="H121" i="8"/>
  <c r="G73" i="1"/>
  <c r="F251" i="6"/>
  <c r="G79" i="1"/>
  <c r="G80"/>
  <c r="F265" i="6"/>
  <c r="G81" i="1"/>
  <c r="F247" i="6"/>
  <c r="G82" i="1"/>
  <c r="G83"/>
  <c r="G87"/>
  <c r="F82" i="6"/>
  <c r="F81"/>
  <c r="F85"/>
  <c r="F86"/>
  <c r="F88"/>
  <c r="G85" i="1"/>
  <c r="G91"/>
  <c r="G94"/>
  <c r="F67" i="6"/>
  <c r="F68"/>
  <c r="G86" i="1"/>
  <c r="G88"/>
  <c r="G89"/>
  <c r="L9" i="7"/>
  <c r="G90" i="1"/>
  <c r="Q127" i="6"/>
  <c r="Q131"/>
  <c r="G92" i="1"/>
  <c r="G97"/>
  <c r="G98"/>
  <c r="G101"/>
  <c r="B122" i="8"/>
  <c r="C122"/>
  <c r="D122"/>
  <c r="H74" i="1"/>
  <c r="H76"/>
  <c r="H71"/>
  <c r="H77"/>
  <c r="G256" i="6"/>
  <c r="F122" i="8"/>
  <c r="E122"/>
  <c r="G122"/>
  <c r="H72" i="1"/>
  <c r="G239" i="6"/>
  <c r="H78" i="1"/>
  <c r="H122" i="8"/>
  <c r="H73" i="1"/>
  <c r="G251" i="6"/>
  <c r="H79" i="1"/>
  <c r="H80"/>
  <c r="G265" i="6"/>
  <c r="H81" i="1"/>
  <c r="G247" i="6"/>
  <c r="H82" i="1"/>
  <c r="H83"/>
  <c r="H87"/>
  <c r="G82" i="6"/>
  <c r="G81"/>
  <c r="G85"/>
  <c r="G86"/>
  <c r="G88"/>
  <c r="H85" i="1"/>
  <c r="H91"/>
  <c r="H94"/>
  <c r="G67" i="6"/>
  <c r="G68"/>
  <c r="H86" i="1"/>
  <c r="H88"/>
  <c r="H89"/>
  <c r="M9" i="7"/>
  <c r="H90" i="1"/>
  <c r="R131" i="6"/>
  <c r="H92" i="1"/>
  <c r="H97"/>
  <c r="H98"/>
  <c r="H101"/>
  <c r="B123" i="8"/>
  <c r="C123"/>
  <c r="D123"/>
  <c r="I74" i="1"/>
  <c r="I76"/>
  <c r="I71"/>
  <c r="I77"/>
  <c r="H256" i="6"/>
  <c r="F123" i="8"/>
  <c r="E123"/>
  <c r="G123"/>
  <c r="I72" i="1"/>
  <c r="H239" i="6"/>
  <c r="I78" i="1"/>
  <c r="H123" i="8"/>
  <c r="I73" i="1"/>
  <c r="H251" i="6"/>
  <c r="I79" i="1"/>
  <c r="I80"/>
  <c r="H265" i="6"/>
  <c r="I81" i="1"/>
  <c r="H247" i="6"/>
  <c r="I82" i="1"/>
  <c r="I83"/>
  <c r="I87"/>
  <c r="H82" i="6"/>
  <c r="H81"/>
  <c r="H85"/>
  <c r="H86"/>
  <c r="H88"/>
  <c r="I85" i="1"/>
  <c r="I91"/>
  <c r="I94"/>
  <c r="H67" i="6"/>
  <c r="H68"/>
  <c r="I86" i="1"/>
  <c r="I88"/>
  <c r="I89"/>
  <c r="N9" i="7"/>
  <c r="I90" i="1"/>
  <c r="S127" i="6"/>
  <c r="S131"/>
  <c r="I92" i="1"/>
  <c r="I97"/>
  <c r="I98"/>
  <c r="I101"/>
  <c r="B124" i="8"/>
  <c r="C124"/>
  <c r="D124"/>
  <c r="J74" i="1"/>
  <c r="J76"/>
  <c r="J71"/>
  <c r="J77"/>
  <c r="I256" i="6"/>
  <c r="F124" i="8"/>
  <c r="E124"/>
  <c r="G124"/>
  <c r="J72" i="1"/>
  <c r="I239" i="6"/>
  <c r="J78" i="1"/>
  <c r="H124" i="8"/>
  <c r="J73" i="1"/>
  <c r="I251" i="6"/>
  <c r="J79" i="1"/>
  <c r="J80"/>
  <c r="I265" i="6"/>
  <c r="J81" i="1"/>
  <c r="I247" i="6"/>
  <c r="J82" i="1"/>
  <c r="J83"/>
  <c r="J87"/>
  <c r="I82" i="6"/>
  <c r="I81"/>
  <c r="I85"/>
  <c r="I86"/>
  <c r="I88"/>
  <c r="J85" i="1"/>
  <c r="J91"/>
  <c r="J94"/>
  <c r="I67" i="6"/>
  <c r="I68"/>
  <c r="J86" i="1"/>
  <c r="J88"/>
  <c r="J89"/>
  <c r="O9" i="7"/>
  <c r="J90" i="1"/>
  <c r="T127" i="6"/>
  <c r="T131"/>
  <c r="J92" i="1"/>
  <c r="J97"/>
  <c r="J98"/>
  <c r="J101"/>
  <c r="B125" i="8"/>
  <c r="C125"/>
  <c r="D125"/>
  <c r="K74" i="1"/>
  <c r="K76"/>
  <c r="K71"/>
  <c r="K77"/>
  <c r="J256" i="6"/>
  <c r="F125" i="8"/>
  <c r="E125"/>
  <c r="G125"/>
  <c r="K72" i="1"/>
  <c r="J239" i="6"/>
  <c r="K78" i="1"/>
  <c r="H125" i="8"/>
  <c r="K73" i="1"/>
  <c r="J251" i="6"/>
  <c r="K79" i="1"/>
  <c r="K80"/>
  <c r="J265" i="6"/>
  <c r="K81" i="1"/>
  <c r="J247" i="6"/>
  <c r="K82" i="1"/>
  <c r="K83"/>
  <c r="K87"/>
  <c r="J82" i="6"/>
  <c r="J81"/>
  <c r="J85"/>
  <c r="J86"/>
  <c r="J88"/>
  <c r="K85" i="1"/>
  <c r="K91"/>
  <c r="K94"/>
  <c r="J67" i="6"/>
  <c r="J68"/>
  <c r="K86" i="1"/>
  <c r="K88"/>
  <c r="K89"/>
  <c r="P9" i="7"/>
  <c r="K90" i="1"/>
  <c r="U131" i="6"/>
  <c r="K92" i="1"/>
  <c r="K97"/>
  <c r="K98"/>
  <c r="K101"/>
  <c r="B126" i="8"/>
  <c r="C126"/>
  <c r="D126"/>
  <c r="L74" i="1"/>
  <c r="L76"/>
  <c r="L71"/>
  <c r="L77"/>
  <c r="K256" i="6"/>
  <c r="F126" i="8"/>
  <c r="E126"/>
  <c r="G126"/>
  <c r="L72" i="1"/>
  <c r="K239" i="6"/>
  <c r="L78" i="1"/>
  <c r="H126" i="8"/>
  <c r="L73" i="1"/>
  <c r="K251" i="6"/>
  <c r="L79" i="1"/>
  <c r="L80"/>
  <c r="K265" i="6"/>
  <c r="L81" i="1"/>
  <c r="K247" i="6"/>
  <c r="L82" i="1"/>
  <c r="L83"/>
  <c r="L87"/>
  <c r="K82" i="6"/>
  <c r="K81"/>
  <c r="K85"/>
  <c r="K86"/>
  <c r="K88"/>
  <c r="L85" i="1"/>
  <c r="L91"/>
  <c r="L94"/>
  <c r="K67" i="6"/>
  <c r="K68"/>
  <c r="L86" i="1"/>
  <c r="L88"/>
  <c r="L89"/>
  <c r="Q9" i="7"/>
  <c r="L90" i="1"/>
  <c r="V131" i="6"/>
  <c r="L92" i="1"/>
  <c r="L97"/>
  <c r="L98"/>
  <c r="L101"/>
  <c r="B127" i="8"/>
  <c r="C127"/>
  <c r="D127"/>
  <c r="M74" i="1"/>
  <c r="M76"/>
  <c r="M71"/>
  <c r="M77"/>
  <c r="L256" i="6"/>
  <c r="F127" i="8"/>
  <c r="E127"/>
  <c r="G127"/>
  <c r="M72" i="1"/>
  <c r="L239" i="6"/>
  <c r="M78" i="1"/>
  <c r="H127" i="8"/>
  <c r="M73" i="1"/>
  <c r="L251" i="6"/>
  <c r="M79" i="1"/>
  <c r="M80"/>
  <c r="L265" i="6"/>
  <c r="M81" i="1"/>
  <c r="L247" i="6"/>
  <c r="M82" i="1"/>
  <c r="M83"/>
  <c r="M87"/>
  <c r="L82" i="6"/>
  <c r="L81"/>
  <c r="L85"/>
  <c r="L86"/>
  <c r="L88"/>
  <c r="M85" i="1"/>
  <c r="M91"/>
  <c r="M94"/>
  <c r="L67" i="6"/>
  <c r="L68"/>
  <c r="M86" i="1"/>
  <c r="M88"/>
  <c r="M89"/>
  <c r="R9" i="7"/>
  <c r="M90" i="1"/>
  <c r="W127" i="6"/>
  <c r="W131"/>
  <c r="M92" i="1"/>
  <c r="M97"/>
  <c r="M98"/>
  <c r="M101"/>
  <c r="B128" i="8"/>
  <c r="C128"/>
  <c r="D128"/>
  <c r="N74" i="1"/>
  <c r="N76"/>
  <c r="N71"/>
  <c r="N77"/>
  <c r="M256" i="6"/>
  <c r="F128" i="8"/>
  <c r="E128"/>
  <c r="G128"/>
  <c r="N72" i="1"/>
  <c r="M239" i="6"/>
  <c r="N78" i="1"/>
  <c r="H128" i="8"/>
  <c r="N73" i="1"/>
  <c r="M251" i="6"/>
  <c r="N79" i="1"/>
  <c r="N80"/>
  <c r="M265" i="6"/>
  <c r="N81" i="1"/>
  <c r="M247" i="6"/>
  <c r="N82" i="1"/>
  <c r="N83"/>
  <c r="N87"/>
  <c r="M82" i="6"/>
  <c r="M81"/>
  <c r="M85"/>
  <c r="M86"/>
  <c r="M88"/>
  <c r="N85" i="1"/>
  <c r="N91"/>
  <c r="N94"/>
  <c r="M67" i="6"/>
  <c r="M68"/>
  <c r="N86" i="1"/>
  <c r="N88"/>
  <c r="N89"/>
  <c r="S9" i="7"/>
  <c r="N90" i="1"/>
  <c r="X127" i="6"/>
  <c r="X128"/>
  <c r="X131"/>
  <c r="N92" i="1"/>
  <c r="N97"/>
  <c r="N98"/>
  <c r="N101"/>
  <c r="B129" i="8"/>
  <c r="C129"/>
  <c r="D129"/>
  <c r="O74" i="1"/>
  <c r="O76"/>
  <c r="O71"/>
  <c r="O77"/>
  <c r="N256" i="6"/>
  <c r="F129" i="8"/>
  <c r="E129"/>
  <c r="G129"/>
  <c r="O72" i="1"/>
  <c r="N239" i="6"/>
  <c r="O78" i="1"/>
  <c r="H129" i="8"/>
  <c r="O73" i="1"/>
  <c r="N251" i="6"/>
  <c r="O79" i="1"/>
  <c r="O80"/>
  <c r="N247" i="6"/>
  <c r="O82" i="1"/>
  <c r="O83"/>
  <c r="O87"/>
  <c r="N82" i="6"/>
  <c r="N81"/>
  <c r="N85"/>
  <c r="N86"/>
  <c r="N88"/>
  <c r="O85" i="1"/>
  <c r="O91"/>
  <c r="O94"/>
  <c r="N67" i="6"/>
  <c r="N68"/>
  <c r="O86" i="1"/>
  <c r="O88"/>
  <c r="O89"/>
  <c r="O90"/>
  <c r="Y131" i="6"/>
  <c r="O92" i="1"/>
  <c r="O97"/>
  <c r="O98"/>
  <c r="O101"/>
  <c r="B130" i="8"/>
  <c r="C130"/>
  <c r="D130"/>
  <c r="P74" i="1"/>
  <c r="P76"/>
  <c r="P71"/>
  <c r="P77"/>
  <c r="O256" i="6"/>
  <c r="F130" i="8"/>
  <c r="E130"/>
  <c r="G130"/>
  <c r="P72" i="1"/>
  <c r="O239" i="6"/>
  <c r="P78" i="1"/>
  <c r="H130" i="8"/>
  <c r="P73" i="1"/>
  <c r="O251" i="6"/>
  <c r="P79" i="1"/>
  <c r="P80"/>
  <c r="O247" i="6"/>
  <c r="P82" i="1"/>
  <c r="P83"/>
  <c r="P87"/>
  <c r="O82" i="6"/>
  <c r="O81"/>
  <c r="O85"/>
  <c r="O86"/>
  <c r="O88"/>
  <c r="P85" i="1"/>
  <c r="P91"/>
  <c r="P94"/>
  <c r="O67" i="6"/>
  <c r="O68"/>
  <c r="P86" i="1"/>
  <c r="P88"/>
  <c r="P89"/>
  <c r="P90"/>
  <c r="Z127" i="6"/>
  <c r="Z131"/>
  <c r="P92" i="1"/>
  <c r="P97"/>
  <c r="P98"/>
  <c r="P101"/>
  <c r="B131" i="8"/>
  <c r="C131"/>
  <c r="D131"/>
  <c r="Q74" i="1"/>
  <c r="Q76"/>
  <c r="Q71"/>
  <c r="Q77"/>
  <c r="P256" i="6"/>
  <c r="F131" i="8"/>
  <c r="E131"/>
  <c r="G131"/>
  <c r="Q72" i="1"/>
  <c r="P239" i="6"/>
  <c r="Q78" i="1"/>
  <c r="H131" i="8"/>
  <c r="Q73" i="1"/>
  <c r="P251" i="6"/>
  <c r="Q79" i="1"/>
  <c r="Q80"/>
  <c r="P247" i="6"/>
  <c r="Q82" i="1"/>
  <c r="Q83"/>
  <c r="Q87"/>
  <c r="P82" i="6"/>
  <c r="P81"/>
  <c r="P85"/>
  <c r="P86"/>
  <c r="P88"/>
  <c r="Q85" i="1"/>
  <c r="Q91"/>
  <c r="Q94"/>
  <c r="P67" i="6"/>
  <c r="P68"/>
  <c r="Q86" i="1"/>
  <c r="Q88"/>
  <c r="Q89"/>
  <c r="Q90"/>
  <c r="AA131" i="6"/>
  <c r="Q92" i="1"/>
  <c r="Q97"/>
  <c r="Q98"/>
  <c r="Q101"/>
  <c r="B132" i="8"/>
  <c r="C132"/>
  <c r="D132"/>
  <c r="R74" i="1"/>
  <c r="R76"/>
  <c r="R71"/>
  <c r="R77"/>
  <c r="Q256" i="6"/>
  <c r="F132" i="8"/>
  <c r="E132"/>
  <c r="G132"/>
  <c r="R72" i="1"/>
  <c r="Q239" i="6"/>
  <c r="R78" i="1"/>
  <c r="H132" i="8"/>
  <c r="R73" i="1"/>
  <c r="Q251" i="6"/>
  <c r="R79" i="1"/>
  <c r="R80"/>
  <c r="Q247" i="6"/>
  <c r="R82" i="1"/>
  <c r="R83"/>
  <c r="R87"/>
  <c r="Q82" i="6"/>
  <c r="Q81"/>
  <c r="Q85"/>
  <c r="Q86"/>
  <c r="Q88"/>
  <c r="R85" i="1"/>
  <c r="R91"/>
  <c r="R94"/>
  <c r="Q67" i="6"/>
  <c r="Q68"/>
  <c r="R86" i="1"/>
  <c r="R88"/>
  <c r="R89"/>
  <c r="R90"/>
  <c r="AB131" i="6"/>
  <c r="R92" i="1"/>
  <c r="R97"/>
  <c r="R98"/>
  <c r="R101"/>
  <c r="B133" i="8"/>
  <c r="C133"/>
  <c r="D133"/>
  <c r="S74" i="1"/>
  <c r="S76"/>
  <c r="S71"/>
  <c r="S77"/>
  <c r="R256" i="6"/>
  <c r="F133" i="8"/>
  <c r="E133"/>
  <c r="G133"/>
  <c r="S72" i="1"/>
  <c r="R239" i="6"/>
  <c r="S78" i="1"/>
  <c r="H133" i="8"/>
  <c r="S73" i="1"/>
  <c r="R251" i="6"/>
  <c r="S79" i="1"/>
  <c r="S80"/>
  <c r="R247" i="6"/>
  <c r="S82" i="1"/>
  <c r="S83"/>
  <c r="S87"/>
  <c r="R82" i="6"/>
  <c r="R81"/>
  <c r="R85"/>
  <c r="R86"/>
  <c r="R88"/>
  <c r="S85" i="1"/>
  <c r="S91"/>
  <c r="S94"/>
  <c r="R67" i="6"/>
  <c r="R68"/>
  <c r="S86" i="1"/>
  <c r="S88"/>
  <c r="S89"/>
  <c r="S90"/>
  <c r="AC127" i="6"/>
  <c r="AC128"/>
  <c r="AC131"/>
  <c r="S92" i="1"/>
  <c r="S97"/>
  <c r="S98"/>
  <c r="S101"/>
  <c r="B134" i="8"/>
  <c r="C134"/>
  <c r="D134"/>
  <c r="T74" i="1"/>
  <c r="T76"/>
  <c r="T71"/>
  <c r="T77"/>
  <c r="S256" i="6"/>
  <c r="F134" i="8"/>
  <c r="E134"/>
  <c r="G134"/>
  <c r="T72" i="1"/>
  <c r="S239" i="6"/>
  <c r="T78" i="1"/>
  <c r="H134" i="8"/>
  <c r="T73" i="1"/>
  <c r="S251" i="6"/>
  <c r="T79" i="1"/>
  <c r="T80"/>
  <c r="S247" i="6"/>
  <c r="T82" i="1"/>
  <c r="T83"/>
  <c r="T87"/>
  <c r="S82" i="6"/>
  <c r="S81"/>
  <c r="S85"/>
  <c r="S86"/>
  <c r="S88"/>
  <c r="T85" i="1"/>
  <c r="T91"/>
  <c r="T94"/>
  <c r="S67" i="6"/>
  <c r="S68"/>
  <c r="T86" i="1"/>
  <c r="T88"/>
  <c r="T89"/>
  <c r="T90"/>
  <c r="AD131" i="6"/>
  <c r="T92" i="1"/>
  <c r="T97"/>
  <c r="T98"/>
  <c r="T101"/>
  <c r="B135" i="8"/>
  <c r="C135"/>
  <c r="D135"/>
  <c r="U74" i="1"/>
  <c r="U76"/>
  <c r="U71"/>
  <c r="U77"/>
  <c r="T256" i="6"/>
  <c r="F135" i="8"/>
  <c r="E135"/>
  <c r="G135"/>
  <c r="U72" i="1"/>
  <c r="T239" i="6"/>
  <c r="U78" i="1"/>
  <c r="H135" i="8"/>
  <c r="U73" i="1"/>
  <c r="T251" i="6"/>
  <c r="U79" i="1"/>
  <c r="U80"/>
  <c r="T247" i="6"/>
  <c r="U82" i="1"/>
  <c r="U83"/>
  <c r="U87"/>
  <c r="T82" i="6"/>
  <c r="T81"/>
  <c r="T85"/>
  <c r="T86"/>
  <c r="T88"/>
  <c r="U85" i="1"/>
  <c r="U91"/>
  <c r="U94"/>
  <c r="T67" i="6"/>
  <c r="T68"/>
  <c r="U86" i="1"/>
  <c r="U88"/>
  <c r="U89"/>
  <c r="U90"/>
  <c r="AE131" i="6"/>
  <c r="U92" i="1"/>
  <c r="U97"/>
  <c r="U98"/>
  <c r="U101"/>
  <c r="B136" i="8"/>
  <c r="C136"/>
  <c r="D136"/>
  <c r="V74" i="1"/>
  <c r="V76"/>
  <c r="V71"/>
  <c r="V77"/>
  <c r="U256" i="6"/>
  <c r="F136" i="8"/>
  <c r="E136"/>
  <c r="G136"/>
  <c r="V72" i="1"/>
  <c r="U239" i="6"/>
  <c r="V78" i="1"/>
  <c r="H136" i="8"/>
  <c r="V73" i="1"/>
  <c r="U251" i="6"/>
  <c r="V79" i="1"/>
  <c r="V80"/>
  <c r="U247" i="6"/>
  <c r="V82" i="1"/>
  <c r="V83"/>
  <c r="V87"/>
  <c r="U82" i="6"/>
  <c r="U81"/>
  <c r="U85"/>
  <c r="U86"/>
  <c r="U88"/>
  <c r="V85" i="1"/>
  <c r="V91"/>
  <c r="V94"/>
  <c r="U67" i="6"/>
  <c r="U68"/>
  <c r="V86" i="1"/>
  <c r="V88"/>
  <c r="V89"/>
  <c r="V90"/>
  <c r="AF127" i="6"/>
  <c r="AF131"/>
  <c r="V92" i="1"/>
  <c r="V97"/>
  <c r="V98"/>
  <c r="V101"/>
  <c r="B137" i="8"/>
  <c r="C137"/>
  <c r="D137"/>
  <c r="W74" i="1"/>
  <c r="W76"/>
  <c r="W71"/>
  <c r="W77"/>
  <c r="V256" i="6"/>
  <c r="F137" i="8"/>
  <c r="E137"/>
  <c r="G137"/>
  <c r="W72" i="1"/>
  <c r="V239" i="6"/>
  <c r="W78" i="1"/>
  <c r="H137" i="8"/>
  <c r="W73" i="1"/>
  <c r="V251" i="6"/>
  <c r="W79" i="1"/>
  <c r="W80"/>
  <c r="V247" i="6"/>
  <c r="W82" i="1"/>
  <c r="W83"/>
  <c r="W87"/>
  <c r="V82" i="6"/>
  <c r="V81"/>
  <c r="V85"/>
  <c r="V86"/>
  <c r="V88"/>
  <c r="W85" i="1"/>
  <c r="W91"/>
  <c r="W94"/>
  <c r="V67" i="6"/>
  <c r="V68"/>
  <c r="W86" i="1"/>
  <c r="W88"/>
  <c r="W89"/>
  <c r="W90"/>
  <c r="AG131" i="6"/>
  <c r="W92" i="1"/>
  <c r="W97"/>
  <c r="W98"/>
  <c r="W101"/>
  <c r="B138" i="8"/>
  <c r="C138"/>
  <c r="D138"/>
  <c r="X74" i="1"/>
  <c r="X76"/>
  <c r="X71"/>
  <c r="X77"/>
  <c r="W256" i="6"/>
  <c r="F138" i="8"/>
  <c r="E138"/>
  <c r="G138"/>
  <c r="X72" i="1"/>
  <c r="W239" i="6"/>
  <c r="X78" i="1"/>
  <c r="H138" i="8"/>
  <c r="X73" i="1"/>
  <c r="W251" i="6"/>
  <c r="X79" i="1"/>
  <c r="X80"/>
  <c r="W247" i="6"/>
  <c r="X82" i="1"/>
  <c r="X83"/>
  <c r="X87"/>
  <c r="W82" i="6"/>
  <c r="W81"/>
  <c r="W85"/>
  <c r="W86"/>
  <c r="W88"/>
  <c r="X85" i="1"/>
  <c r="X91"/>
  <c r="X94"/>
  <c r="W67" i="6"/>
  <c r="W68"/>
  <c r="X86" i="1"/>
  <c r="X88"/>
  <c r="X89"/>
  <c r="X90"/>
  <c r="AH128" i="6"/>
  <c r="AH129"/>
  <c r="AH131"/>
  <c r="X92" i="1"/>
  <c r="X97"/>
  <c r="X98"/>
  <c r="X101"/>
  <c r="I104"/>
  <c r="V270" i="6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S11"/>
  <c r="T11"/>
  <c r="S7"/>
  <c r="T7"/>
  <c r="S3"/>
  <c r="T3"/>
  <c r="X38"/>
  <c r="D218"/>
  <c r="D217"/>
  <c r="D216"/>
  <c r="D210"/>
  <c r="D209"/>
  <c r="D208"/>
  <c r="D202"/>
  <c r="D201"/>
  <c r="D200"/>
  <c r="D194"/>
  <c r="D193"/>
  <c r="D192"/>
  <c r="D187"/>
  <c r="D186"/>
  <c r="D185"/>
  <c r="D124"/>
  <c r="J59"/>
  <c r="J45"/>
  <c r="J33"/>
  <c r="J23"/>
  <c r="J13"/>
  <c r="J64"/>
  <c r="J63"/>
  <c r="J62"/>
  <c r="J61"/>
  <c r="J60"/>
  <c r="J50"/>
  <c r="J49"/>
  <c r="J48"/>
  <c r="J47"/>
  <c r="J46"/>
  <c r="J38"/>
  <c r="J37"/>
  <c r="J36"/>
  <c r="J35"/>
  <c r="J34"/>
  <c r="J28"/>
  <c r="J27"/>
  <c r="J26"/>
  <c r="J25"/>
  <c r="J24"/>
  <c r="J18"/>
  <c r="J17"/>
  <c r="J16"/>
  <c r="J15"/>
  <c r="J14"/>
  <c r="AB239"/>
  <c r="AA239"/>
  <c r="Z239"/>
  <c r="Y239"/>
  <c r="X239"/>
  <c r="AB265"/>
  <c r="AA265"/>
  <c r="Z265"/>
  <c r="Y265"/>
  <c r="X265"/>
  <c r="W265"/>
  <c r="V265"/>
  <c r="U265"/>
  <c r="T265"/>
  <c r="S265"/>
  <c r="R265"/>
  <c r="Q265"/>
  <c r="P265"/>
  <c r="O265"/>
  <c r="N265"/>
  <c r="AB256"/>
  <c r="AA256"/>
  <c r="Z256"/>
  <c r="Y256"/>
  <c r="X256"/>
  <c r="V63" i="8"/>
  <c r="U63"/>
  <c r="T63"/>
  <c r="S63"/>
  <c r="R63"/>
  <c r="Q63"/>
  <c r="P63"/>
  <c r="O63"/>
  <c r="N63"/>
  <c r="M63"/>
  <c r="L63"/>
  <c r="AL64"/>
  <c r="AK64"/>
  <c r="AJ64"/>
  <c r="AI64"/>
  <c r="AH64"/>
  <c r="AG64"/>
  <c r="AF64"/>
  <c r="AE64"/>
  <c r="AD64"/>
  <c r="AC64"/>
  <c r="AB64"/>
  <c r="AA64"/>
  <c r="V64"/>
  <c r="U64"/>
  <c r="T64"/>
  <c r="S64"/>
  <c r="R64"/>
  <c r="Q64"/>
  <c r="P64"/>
  <c r="O64"/>
  <c r="N64"/>
  <c r="M64"/>
  <c r="L64"/>
  <c r="K63"/>
  <c r="K64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AM128" i="6"/>
  <c r="AM131"/>
  <c r="AC92" i="1"/>
  <c r="AL127" i="6"/>
  <c r="AL131"/>
  <c r="AB92" i="1"/>
  <c r="AI127" i="6"/>
  <c r="AI131"/>
  <c r="Y92" i="1"/>
  <c r="AK131" i="6"/>
  <c r="AA92" i="1"/>
  <c r="AJ131" i="6"/>
  <c r="Z92" i="1"/>
  <c r="E70"/>
  <c r="W63" i="8"/>
  <c r="W64"/>
  <c r="AC90" i="1"/>
  <c r="AB90"/>
  <c r="AA90"/>
  <c r="Z90"/>
  <c r="Y90"/>
  <c r="M164" i="8"/>
  <c r="E6" i="7"/>
  <c r="E5"/>
  <c r="R94" i="8"/>
  <c r="R95"/>
  <c r="M94"/>
  <c r="M95"/>
  <c r="T94"/>
  <c r="T95"/>
  <c r="K94"/>
  <c r="K95"/>
  <c r="Q94"/>
  <c r="Q95"/>
  <c r="S94"/>
  <c r="S95"/>
  <c r="N94"/>
  <c r="N95"/>
  <c r="P94"/>
  <c r="P95"/>
  <c r="V94"/>
  <c r="V95"/>
  <c r="O94"/>
  <c r="O95"/>
  <c r="U94"/>
  <c r="U95"/>
  <c r="L94"/>
  <c r="L95"/>
  <c r="D260" i="6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W95" i="8"/>
  <c r="X251" i="6"/>
  <c r="Y251"/>
  <c r="Z251"/>
  <c r="AA251"/>
  <c r="AB251"/>
  <c r="AC97" i="1"/>
  <c r="AB97"/>
  <c r="AA97"/>
  <c r="Z97"/>
  <c r="Y97"/>
  <c r="Q57" i="6"/>
  <c r="D233"/>
  <c r="D224"/>
  <c r="I41" i="1"/>
  <c r="AC91"/>
  <c r="AB91"/>
  <c r="AA91"/>
  <c r="Z91"/>
  <c r="Y91"/>
  <c r="H218" i="6"/>
  <c r="H217"/>
  <c r="H216"/>
  <c r="H210"/>
  <c r="H209"/>
  <c r="H208"/>
  <c r="H202"/>
  <c r="H201"/>
  <c r="H200"/>
  <c r="H194"/>
  <c r="H193"/>
  <c r="H192"/>
  <c r="H187"/>
  <c r="H186"/>
  <c r="H185"/>
  <c r="M175"/>
  <c r="G175"/>
  <c r="D175"/>
  <c r="H175"/>
  <c r="M174"/>
  <c r="G174"/>
  <c r="D174"/>
  <c r="H174"/>
  <c r="M173"/>
  <c r="G173"/>
  <c r="D173"/>
  <c r="H173"/>
  <c r="M172"/>
  <c r="G172"/>
  <c r="D172"/>
  <c r="H172"/>
  <c r="M171"/>
  <c r="G171"/>
  <c r="D171"/>
  <c r="H171"/>
  <c r="M170"/>
  <c r="G170"/>
  <c r="D170"/>
  <c r="H170"/>
  <c r="M161"/>
  <c r="G161"/>
  <c r="D161"/>
  <c r="H161"/>
  <c r="M160"/>
  <c r="G160"/>
  <c r="D160"/>
  <c r="H160"/>
  <c r="M159"/>
  <c r="G159"/>
  <c r="D159"/>
  <c r="H159"/>
  <c r="M158"/>
  <c r="G158"/>
  <c r="D158"/>
  <c r="H158"/>
  <c r="M157"/>
  <c r="G157"/>
  <c r="D157"/>
  <c r="H157"/>
  <c r="M156"/>
  <c r="G156"/>
  <c r="D156"/>
  <c r="H156"/>
  <c r="M149"/>
  <c r="G149"/>
  <c r="D149"/>
  <c r="H149"/>
  <c r="M148"/>
  <c r="G148"/>
  <c r="D148"/>
  <c r="H148"/>
  <c r="M147"/>
  <c r="G147"/>
  <c r="D147"/>
  <c r="H147"/>
  <c r="M146"/>
  <c r="G146"/>
  <c r="D146"/>
  <c r="H146"/>
  <c r="M145"/>
  <c r="G145"/>
  <c r="D145"/>
  <c r="H145"/>
  <c r="M144"/>
  <c r="G144"/>
  <c r="D144"/>
  <c r="H144"/>
  <c r="M139"/>
  <c r="G139"/>
  <c r="D139"/>
  <c r="H139"/>
  <c r="M138"/>
  <c r="G138"/>
  <c r="D138"/>
  <c r="H138"/>
  <c r="M137"/>
  <c r="G137"/>
  <c r="D137"/>
  <c r="H137"/>
  <c r="M136"/>
  <c r="G136"/>
  <c r="D136"/>
  <c r="H136"/>
  <c r="M135"/>
  <c r="G135"/>
  <c r="D135"/>
  <c r="H135"/>
  <c r="M134"/>
  <c r="G134"/>
  <c r="D134"/>
  <c r="H134"/>
  <c r="M129"/>
  <c r="G129"/>
  <c r="D129"/>
  <c r="H129"/>
  <c r="M128"/>
  <c r="G128"/>
  <c r="D128"/>
  <c r="H128"/>
  <c r="M127"/>
  <c r="G127"/>
  <c r="D127"/>
  <c r="H127"/>
  <c r="M126"/>
  <c r="G126"/>
  <c r="D126"/>
  <c r="H126"/>
  <c r="M125"/>
  <c r="G125"/>
  <c r="D125"/>
  <c r="H125"/>
  <c r="M124"/>
  <c r="G124"/>
  <c r="H124"/>
  <c r="D117"/>
  <c r="Z86"/>
  <c r="S39"/>
  <c r="S38"/>
  <c r="S37"/>
  <c r="S36"/>
  <c r="S35"/>
  <c r="S34"/>
  <c r="S33"/>
  <c r="S32"/>
  <c r="S31"/>
  <c r="S30"/>
  <c r="E224"/>
  <c r="X81"/>
  <c r="AB81"/>
  <c r="Y86"/>
  <c r="AA81"/>
  <c r="X86"/>
  <c r="AB86"/>
  <c r="Z81"/>
  <c r="AA86"/>
  <c r="Y81"/>
  <c r="I218"/>
  <c r="I217"/>
  <c r="I216"/>
  <c r="I210"/>
  <c r="I209"/>
  <c r="I208"/>
  <c r="I201"/>
  <c r="I200"/>
  <c r="I194"/>
  <c r="I193"/>
  <c r="I192"/>
  <c r="I187"/>
  <c r="I186"/>
  <c r="I185"/>
  <c r="I202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S41"/>
  <c r="I42" i="1"/>
  <c r="I43"/>
  <c r="F224" i="6"/>
  <c r="Z41"/>
  <c r="G224"/>
  <c r="M64"/>
  <c r="N64"/>
  <c r="G64"/>
  <c r="M63"/>
  <c r="N63"/>
  <c r="G63"/>
  <c r="M62"/>
  <c r="N62"/>
  <c r="G62"/>
  <c r="M61"/>
  <c r="N61"/>
  <c r="G61"/>
  <c r="M60"/>
  <c r="N60"/>
  <c r="G60"/>
  <c r="M59"/>
  <c r="N59"/>
  <c r="G59"/>
  <c r="M50"/>
  <c r="N50"/>
  <c r="G50"/>
  <c r="M49"/>
  <c r="N49"/>
  <c r="G49"/>
  <c r="M48"/>
  <c r="N48"/>
  <c r="G48"/>
  <c r="M47"/>
  <c r="N47"/>
  <c r="G47"/>
  <c r="M46"/>
  <c r="N46"/>
  <c r="G46"/>
  <c r="M45"/>
  <c r="N45"/>
  <c r="G45"/>
  <c r="M38"/>
  <c r="O38"/>
  <c r="G38"/>
  <c r="M37"/>
  <c r="O37"/>
  <c r="G37"/>
  <c r="M36"/>
  <c r="N36"/>
  <c r="G36"/>
  <c r="M35"/>
  <c r="O35"/>
  <c r="G35"/>
  <c r="M34"/>
  <c r="O34"/>
  <c r="G34"/>
  <c r="M33"/>
  <c r="O33"/>
  <c r="G33"/>
  <c r="M28"/>
  <c r="O28"/>
  <c r="G28"/>
  <c r="M27"/>
  <c r="O27"/>
  <c r="G27"/>
  <c r="M26"/>
  <c r="O26"/>
  <c r="G26"/>
  <c r="M25"/>
  <c r="O25"/>
  <c r="G25"/>
  <c r="M24"/>
  <c r="O24"/>
  <c r="G24"/>
  <c r="M23"/>
  <c r="O23"/>
  <c r="G23"/>
  <c r="M18"/>
  <c r="O18"/>
  <c r="G18"/>
  <c r="M17"/>
  <c r="O17"/>
  <c r="G17"/>
  <c r="M16"/>
  <c r="N16"/>
  <c r="G16"/>
  <c r="M15"/>
  <c r="O15"/>
  <c r="G15"/>
  <c r="M14"/>
  <c r="N14"/>
  <c r="M13"/>
  <c r="O13"/>
  <c r="Z40"/>
  <c r="C47" i="1"/>
  <c r="E4" i="7"/>
  <c r="E10"/>
  <c r="H224" i="6"/>
  <c r="O14"/>
  <c r="O60"/>
  <c r="N33"/>
  <c r="O48"/>
  <c r="O16"/>
  <c r="N28"/>
  <c r="N34"/>
  <c r="O46"/>
  <c r="O50"/>
  <c r="O62"/>
  <c r="O63"/>
  <c r="N13"/>
  <c r="N15"/>
  <c r="N17"/>
  <c r="N24"/>
  <c r="N37"/>
  <c r="N38"/>
  <c r="N26"/>
  <c r="O45"/>
  <c r="O47"/>
  <c r="O49"/>
  <c r="O59"/>
  <c r="O61"/>
  <c r="O64"/>
  <c r="N18"/>
  <c r="N23"/>
  <c r="N25"/>
  <c r="N27"/>
  <c r="N35"/>
  <c r="O36"/>
  <c r="E12" i="7"/>
  <c r="E11"/>
  <c r="I48" i="1"/>
  <c r="Z39" i="6"/>
  <c r="E9" i="7"/>
  <c r="I224" i="6"/>
  <c r="T27"/>
  <c r="J6" i="7"/>
  <c r="Z9"/>
  <c r="Y9"/>
  <c r="AG9"/>
  <c r="AF9"/>
  <c r="AB9"/>
  <c r="AD9"/>
  <c r="AE9"/>
  <c r="AH9"/>
  <c r="Q53" i="6"/>
  <c r="S53"/>
  <c r="J224"/>
  <c r="Q52"/>
  <c r="S52"/>
  <c r="E69" i="1"/>
  <c r="V9" i="7"/>
  <c r="AA9"/>
  <c r="W9"/>
  <c r="I47" i="1"/>
  <c r="T9" i="7"/>
  <c r="X9"/>
  <c r="AC9"/>
  <c r="U9"/>
  <c r="D223" i="6"/>
  <c r="D225"/>
  <c r="D226"/>
  <c r="K224"/>
  <c r="Z94" i="1"/>
  <c r="AA94"/>
  <c r="AB94"/>
  <c r="AC94"/>
  <c r="Y94"/>
  <c r="F69"/>
  <c r="S55" i="6"/>
  <c r="E223"/>
  <c r="E225"/>
  <c r="E226"/>
  <c r="E227"/>
  <c r="D228"/>
  <c r="D227"/>
  <c r="L224"/>
  <c r="G69" i="1"/>
  <c r="F223" i="6"/>
  <c r="F225"/>
  <c r="F226"/>
  <c r="F227"/>
  <c r="AG94" i="8"/>
  <c r="AA94"/>
  <c r="AE94"/>
  <c r="AB94"/>
  <c r="AF94"/>
  <c r="AH94"/>
  <c r="AI94"/>
  <c r="AL94"/>
  <c r="AK94"/>
  <c r="AJ94"/>
  <c r="AC94"/>
  <c r="E228" i="6"/>
  <c r="M224"/>
  <c r="H69" i="1"/>
  <c r="G223" i="6"/>
  <c r="G225"/>
  <c r="G226"/>
  <c r="G227"/>
  <c r="F228"/>
  <c r="N224"/>
  <c r="I69" i="1"/>
  <c r="H223" i="6"/>
  <c r="H225"/>
  <c r="H226"/>
  <c r="H227"/>
  <c r="G228"/>
  <c r="O224"/>
  <c r="J69" i="1"/>
  <c r="I223" i="6"/>
  <c r="I225"/>
  <c r="I226"/>
  <c r="I227"/>
  <c r="H228"/>
  <c r="P224"/>
  <c r="K69" i="1"/>
  <c r="J223" i="6"/>
  <c r="J225"/>
  <c r="J226"/>
  <c r="J227"/>
  <c r="I228"/>
  <c r="Q224"/>
  <c r="L69" i="1"/>
  <c r="K223" i="6"/>
  <c r="K225"/>
  <c r="K226"/>
  <c r="K227"/>
  <c r="J228"/>
  <c r="R224"/>
  <c r="M69" i="1"/>
  <c r="L223" i="6"/>
  <c r="L225"/>
  <c r="L226"/>
  <c r="L227"/>
  <c r="K228"/>
  <c r="S224"/>
  <c r="N69" i="1"/>
  <c r="M223" i="6"/>
  <c r="M225"/>
  <c r="M226"/>
  <c r="M227"/>
  <c r="L228"/>
  <c r="T224"/>
  <c r="O69" i="1"/>
  <c r="N223" i="6"/>
  <c r="N225"/>
  <c r="N226"/>
  <c r="N227"/>
  <c r="M228"/>
  <c r="U224"/>
  <c r="P69" i="1"/>
  <c r="O223" i="6"/>
  <c r="O225"/>
  <c r="O226"/>
  <c r="O227"/>
  <c r="N228"/>
  <c r="V224"/>
  <c r="Q69" i="1"/>
  <c r="P223" i="6"/>
  <c r="P225"/>
  <c r="P226"/>
  <c r="P227"/>
  <c r="O228"/>
  <c r="W224"/>
  <c r="X247"/>
  <c r="R69" i="1"/>
  <c r="Q223" i="6"/>
  <c r="Q225"/>
  <c r="Q226"/>
  <c r="Q227"/>
  <c r="P228"/>
  <c r="X224"/>
  <c r="Y247"/>
  <c r="S69" i="1"/>
  <c r="R223" i="6"/>
  <c r="R225"/>
  <c r="R226"/>
  <c r="R227"/>
  <c r="Q228"/>
  <c r="Y224"/>
  <c r="Z247"/>
  <c r="X82"/>
  <c r="T69" i="1"/>
  <c r="S223" i="6"/>
  <c r="S225"/>
  <c r="S226"/>
  <c r="S227"/>
  <c r="R228"/>
  <c r="Z224"/>
  <c r="AA247"/>
  <c r="X85"/>
  <c r="Y82"/>
  <c r="U69" i="1"/>
  <c r="T223" i="6"/>
  <c r="T225"/>
  <c r="T226"/>
  <c r="T227"/>
  <c r="S228"/>
  <c r="AA224"/>
  <c r="AB247"/>
  <c r="Y85"/>
  <c r="Z82"/>
  <c r="V69" i="1"/>
  <c r="U223" i="6"/>
  <c r="U225"/>
  <c r="U226"/>
  <c r="U227"/>
  <c r="T228"/>
  <c r="AB224"/>
  <c r="Z85"/>
  <c r="AA82"/>
  <c r="W69" i="1"/>
  <c r="V223" i="6"/>
  <c r="V225"/>
  <c r="V226"/>
  <c r="V227"/>
  <c r="U228"/>
  <c r="AA85"/>
  <c r="AB82"/>
  <c r="AB85"/>
  <c r="X69" i="1"/>
  <c r="W223" i="6"/>
  <c r="W225"/>
  <c r="W226"/>
  <c r="W227"/>
  <c r="B139" i="8"/>
  <c r="V228" i="6"/>
  <c r="Y69" i="1"/>
  <c r="X223" i="6"/>
  <c r="X225"/>
  <c r="X226"/>
  <c r="X227"/>
  <c r="B140" i="8"/>
  <c r="W228" i="6"/>
  <c r="Z69" i="1"/>
  <c r="Y223" i="6"/>
  <c r="Y225"/>
  <c r="Y226"/>
  <c r="Y227"/>
  <c r="B141" i="8"/>
  <c r="X228" i="6"/>
  <c r="AA69" i="1"/>
  <c r="Z223" i="6"/>
  <c r="Z225"/>
  <c r="Z226"/>
  <c r="Z227"/>
  <c r="B142" i="8"/>
  <c r="Y228" i="6"/>
  <c r="AB69" i="1"/>
  <c r="AA223" i="6"/>
  <c r="AA225"/>
  <c r="AA226"/>
  <c r="AA227"/>
  <c r="B143" i="8"/>
  <c r="Z228" i="6"/>
  <c r="AC69" i="1"/>
  <c r="AB223" i="6"/>
  <c r="AB225"/>
  <c r="AB226"/>
  <c r="AB227"/>
  <c r="AA228"/>
  <c r="AB228"/>
  <c r="X88"/>
  <c r="Y88"/>
  <c r="Z88"/>
  <c r="AA88"/>
  <c r="AB88"/>
  <c r="Y85" i="1"/>
  <c r="Z85"/>
  <c r="AA85"/>
  <c r="AB85"/>
  <c r="AC85"/>
  <c r="B144" i="8"/>
  <c r="F70" i="1"/>
  <c r="G70"/>
  <c r="H70"/>
  <c r="I70"/>
  <c r="J70"/>
  <c r="L158" i="8"/>
  <c r="L154"/>
  <c r="L155"/>
  <c r="L148"/>
  <c r="L147"/>
  <c r="L144"/>
  <c r="L142"/>
  <c r="L156"/>
  <c r="L138"/>
  <c r="L151"/>
  <c r="L157"/>
  <c r="L139"/>
  <c r="L153"/>
  <c r="L143"/>
  <c r="L140"/>
  <c r="AB101"/>
  <c r="L136"/>
  <c r="L141"/>
  <c r="L137"/>
  <c r="L149"/>
  <c r="L145"/>
  <c r="L150"/>
  <c r="L146"/>
  <c r="K70" i="1"/>
  <c r="L152" i="8"/>
  <c r="AB107"/>
  <c r="AB108"/>
  <c r="AB105"/>
  <c r="AB119"/>
  <c r="AB102"/>
  <c r="AB118"/>
  <c r="AB121"/>
  <c r="AB112"/>
  <c r="AB111"/>
  <c r="AB103"/>
  <c r="AB109"/>
  <c r="AB120"/>
  <c r="AB122"/>
  <c r="AB117"/>
  <c r="AB115"/>
  <c r="AB106"/>
  <c r="AB124"/>
  <c r="AB104"/>
  <c r="AB123"/>
  <c r="M143"/>
  <c r="M138"/>
  <c r="S138"/>
  <c r="S150"/>
  <c r="S146"/>
  <c r="S140"/>
  <c r="Q155"/>
  <c r="Q151"/>
  <c r="Q147"/>
  <c r="Q143"/>
  <c r="P151"/>
  <c r="P147"/>
  <c r="P143"/>
  <c r="P155"/>
  <c r="T150"/>
  <c r="T151"/>
  <c r="T147"/>
  <c r="T143"/>
  <c r="U147"/>
  <c r="U154"/>
  <c r="U151"/>
  <c r="U136"/>
  <c r="U158"/>
  <c r="U155"/>
  <c r="N157"/>
  <c r="N138"/>
  <c r="N144"/>
  <c r="N150"/>
  <c r="N145"/>
  <c r="N155"/>
  <c r="V140"/>
  <c r="V142"/>
  <c r="V137"/>
  <c r="V146"/>
  <c r="R143"/>
  <c r="R155"/>
  <c r="R151"/>
  <c r="R156"/>
  <c r="R149"/>
  <c r="O154"/>
  <c r="O143"/>
  <c r="O150"/>
  <c r="O139"/>
  <c r="O146"/>
  <c r="O142"/>
  <c r="O156"/>
  <c r="K145"/>
  <c r="K139"/>
  <c r="K157"/>
  <c r="AA101"/>
  <c r="K153"/>
  <c r="K156"/>
  <c r="K149"/>
  <c r="M142"/>
  <c r="M148"/>
  <c r="M146"/>
  <c r="S139"/>
  <c r="M158"/>
  <c r="M156"/>
  <c r="M136"/>
  <c r="M157"/>
  <c r="M144"/>
  <c r="S136"/>
  <c r="S148"/>
  <c r="S144"/>
  <c r="S149"/>
  <c r="Q139"/>
  <c r="Q157"/>
  <c r="Q153"/>
  <c r="Q156"/>
  <c r="Q149"/>
  <c r="Q145"/>
  <c r="AF101"/>
  <c r="P148"/>
  <c r="P139"/>
  <c r="T155"/>
  <c r="T153"/>
  <c r="T156"/>
  <c r="T149"/>
  <c r="T145"/>
  <c r="U142"/>
  <c r="U139"/>
  <c r="U157"/>
  <c r="U146"/>
  <c r="U143"/>
  <c r="U150"/>
  <c r="N141"/>
  <c r="N142"/>
  <c r="N147"/>
  <c r="N149"/>
  <c r="N137"/>
  <c r="N139"/>
  <c r="V151"/>
  <c r="V153"/>
  <c r="V144"/>
  <c r="V154"/>
  <c r="V157"/>
  <c r="V138"/>
  <c r="R145"/>
  <c r="R139"/>
  <c r="R157"/>
  <c r="AH101"/>
  <c r="R153"/>
  <c r="R140"/>
  <c r="O138"/>
  <c r="O148"/>
  <c r="O144"/>
  <c r="O140"/>
  <c r="K136"/>
  <c r="K154"/>
  <c r="K148"/>
  <c r="K141"/>
  <c r="K144"/>
  <c r="K137"/>
  <c r="K140"/>
  <c r="K158"/>
  <c r="AB113"/>
  <c r="AB114"/>
  <c r="AB125"/>
  <c r="M137"/>
  <c r="M151"/>
  <c r="M149"/>
  <c r="S157"/>
  <c r="S153"/>
  <c r="S158"/>
  <c r="S147"/>
  <c r="Q148"/>
  <c r="Q144"/>
  <c r="Q137"/>
  <c r="Q140"/>
  <c r="Q158"/>
  <c r="Q136"/>
  <c r="Q154"/>
  <c r="P136"/>
  <c r="P154"/>
  <c r="P153"/>
  <c r="P150"/>
  <c r="P145"/>
  <c r="P146"/>
  <c r="P144"/>
  <c r="P158"/>
  <c r="T139"/>
  <c r="T157"/>
  <c r="T144"/>
  <c r="T137"/>
  <c r="T140"/>
  <c r="T158"/>
  <c r="T136"/>
  <c r="T154"/>
  <c r="U145"/>
  <c r="U156"/>
  <c r="U148"/>
  <c r="U149"/>
  <c r="U138"/>
  <c r="U153"/>
  <c r="N151"/>
  <c r="N136"/>
  <c r="N143"/>
  <c r="N156"/>
  <c r="V141"/>
  <c r="V143"/>
  <c r="V145"/>
  <c r="V155"/>
  <c r="V136"/>
  <c r="V139"/>
  <c r="V149"/>
  <c r="R136"/>
  <c r="R154"/>
  <c r="R148"/>
  <c r="R141"/>
  <c r="R144"/>
  <c r="R137"/>
  <c r="R142"/>
  <c r="O136"/>
  <c r="O157"/>
  <c r="O153"/>
  <c r="O149"/>
  <c r="K138"/>
  <c r="K150"/>
  <c r="K146"/>
  <c r="K142"/>
  <c r="M140"/>
  <c r="M155"/>
  <c r="M154"/>
  <c r="S145"/>
  <c r="Q141"/>
  <c r="M141"/>
  <c r="M153"/>
  <c r="M139"/>
  <c r="M145"/>
  <c r="M150"/>
  <c r="M147"/>
  <c r="S154"/>
  <c r="S143"/>
  <c r="S141"/>
  <c r="S155"/>
  <c r="S137"/>
  <c r="S151"/>
  <c r="S142"/>
  <c r="S156"/>
  <c r="Q150"/>
  <c r="Q146"/>
  <c r="Q142"/>
  <c r="Q138"/>
  <c r="P140"/>
  <c r="P138"/>
  <c r="P157"/>
  <c r="P149"/>
  <c r="P141"/>
  <c r="P137"/>
  <c r="P156"/>
  <c r="P142"/>
  <c r="T148"/>
  <c r="T141"/>
  <c r="T146"/>
  <c r="T142"/>
  <c r="T138"/>
  <c r="U137"/>
  <c r="U140"/>
  <c r="U141"/>
  <c r="U144"/>
  <c r="N148"/>
  <c r="N154"/>
  <c r="N153"/>
  <c r="N140"/>
  <c r="N146"/>
  <c r="L135"/>
  <c r="V148"/>
  <c r="V158"/>
  <c r="V150"/>
  <c r="V147"/>
  <c r="V156"/>
  <c r="R138"/>
  <c r="R150"/>
  <c r="R146"/>
  <c r="R147"/>
  <c r="O145"/>
  <c r="O141"/>
  <c r="O155"/>
  <c r="O137"/>
  <c r="O151"/>
  <c r="O158"/>
  <c r="O147"/>
  <c r="K143"/>
  <c r="K155"/>
  <c r="K151"/>
  <c r="K147"/>
  <c r="AB110"/>
  <c r="AB126"/>
  <c r="AB127"/>
  <c r="L159"/>
  <c r="L160"/>
  <c r="L70" i="1"/>
  <c r="V152" i="8"/>
  <c r="U152"/>
  <c r="T152"/>
  <c r="P152"/>
  <c r="S152"/>
  <c r="K152"/>
  <c r="R152"/>
  <c r="Q152"/>
  <c r="O152"/>
  <c r="M152"/>
  <c r="N152"/>
  <c r="AL122"/>
  <c r="AC117"/>
  <c r="AI123"/>
  <c r="AG108"/>
  <c r="AF124"/>
  <c r="AE120"/>
  <c r="AF103"/>
  <c r="AL115"/>
  <c r="AJ112"/>
  <c r="AI109"/>
  <c r="AA104"/>
  <c r="AH110"/>
  <c r="AK107"/>
  <c r="AJ104"/>
  <c r="AJ107"/>
  <c r="AG117"/>
  <c r="AI107"/>
  <c r="AH102"/>
  <c r="AL111"/>
  <c r="AH109"/>
  <c r="AK122"/>
  <c r="AJ118"/>
  <c r="AK110"/>
  <c r="AF123"/>
  <c r="AF104"/>
  <c r="AI118"/>
  <c r="AA112"/>
  <c r="AE102"/>
  <c r="AH107"/>
  <c r="AG122"/>
  <c r="AK102"/>
  <c r="AK119"/>
  <c r="AK106"/>
  <c r="AK103"/>
  <c r="AJ108"/>
  <c r="AJ114"/>
  <c r="AF108"/>
  <c r="AF107"/>
  <c r="AF115"/>
  <c r="AF106"/>
  <c r="AG104"/>
  <c r="AG112"/>
  <c r="AI108"/>
  <c r="AI103"/>
  <c r="AI122"/>
  <c r="AI121"/>
  <c r="AC113"/>
  <c r="AA108"/>
  <c r="AA117"/>
  <c r="AE115"/>
  <c r="AE124"/>
  <c r="AH108"/>
  <c r="AH103"/>
  <c r="AH114"/>
  <c r="AH121"/>
  <c r="AL105"/>
  <c r="AL102"/>
  <c r="AA113"/>
  <c r="AA122"/>
  <c r="AE125"/>
  <c r="AE118"/>
  <c r="AE107"/>
  <c r="AH113"/>
  <c r="AH117"/>
  <c r="AL123"/>
  <c r="AL117"/>
  <c r="AL125"/>
  <c r="AD112"/>
  <c r="AD121"/>
  <c r="AC109"/>
  <c r="AA118"/>
  <c r="AA109"/>
  <c r="AE113"/>
  <c r="AE103"/>
  <c r="AE122"/>
  <c r="AE111"/>
  <c r="AH112"/>
  <c r="AH104"/>
  <c r="AL113"/>
  <c r="AL119"/>
  <c r="AL114"/>
  <c r="AD106"/>
  <c r="AD120"/>
  <c r="AD114"/>
  <c r="AA125"/>
  <c r="AA110"/>
  <c r="AA107"/>
  <c r="AA102"/>
  <c r="AE110"/>
  <c r="AE104"/>
  <c r="AH105"/>
  <c r="AH111"/>
  <c r="AL124"/>
  <c r="AL121"/>
  <c r="AL118"/>
  <c r="AD105"/>
  <c r="AD103"/>
  <c r="AD113"/>
  <c r="AD108"/>
  <c r="AL103"/>
  <c r="AL106"/>
  <c r="AD111"/>
  <c r="AD117"/>
  <c r="AD104"/>
  <c r="AK125"/>
  <c r="AK118"/>
  <c r="AK121"/>
  <c r="AF113"/>
  <c r="AC104"/>
  <c r="AF122"/>
  <c r="AA106"/>
  <c r="AA103"/>
  <c r="AA114"/>
  <c r="AA121"/>
  <c r="AE106"/>
  <c r="AE114"/>
  <c r="AE119"/>
  <c r="AH106"/>
  <c r="AH120"/>
  <c r="AH124"/>
  <c r="AH119"/>
  <c r="AL104"/>
  <c r="AL110"/>
  <c r="AL120"/>
  <c r="AD115"/>
  <c r="AD107"/>
  <c r="AK117"/>
  <c r="AL112"/>
  <c r="AL108"/>
  <c r="AD122"/>
  <c r="AD110"/>
  <c r="AD124"/>
  <c r="AD119"/>
  <c r="AC101"/>
  <c r="M135"/>
  <c r="AL101"/>
  <c r="V135"/>
  <c r="T135"/>
  <c r="S135"/>
  <c r="AJ109"/>
  <c r="AK101"/>
  <c r="U135"/>
  <c r="AC120"/>
  <c r="AC107"/>
  <c r="AC106"/>
  <c r="AL107"/>
  <c r="AD123"/>
  <c r="AK120"/>
  <c r="AK104"/>
  <c r="AK114"/>
  <c r="AK111"/>
  <c r="AJ121"/>
  <c r="AJ106"/>
  <c r="AJ103"/>
  <c r="AJ105"/>
  <c r="AF125"/>
  <c r="AF111"/>
  <c r="AF117"/>
  <c r="AF102"/>
  <c r="AG121"/>
  <c r="AG106"/>
  <c r="AG103"/>
  <c r="AI113"/>
  <c r="AI120"/>
  <c r="AI124"/>
  <c r="AC115"/>
  <c r="AC103"/>
  <c r="AK124"/>
  <c r="AK108"/>
  <c r="AJ111"/>
  <c r="AJ123"/>
  <c r="AJ120"/>
  <c r="AJ122"/>
  <c r="AF114"/>
  <c r="AG111"/>
  <c r="AG123"/>
  <c r="AG120"/>
  <c r="AG124"/>
  <c r="AI115"/>
  <c r="AI114"/>
  <c r="AC110"/>
  <c r="AC124"/>
  <c r="AC125"/>
  <c r="AI105"/>
  <c r="AA115"/>
  <c r="AA105"/>
  <c r="AA111"/>
  <c r="AE123"/>
  <c r="AE117"/>
  <c r="AE121"/>
  <c r="AH115"/>
  <c r="AH122"/>
  <c r="AG113"/>
  <c r="P135"/>
  <c r="Q135"/>
  <c r="O135"/>
  <c r="AK113"/>
  <c r="AJ113"/>
  <c r="AJ117"/>
  <c r="AF109"/>
  <c r="AF118"/>
  <c r="R135"/>
  <c r="K135"/>
  <c r="K159"/>
  <c r="K160"/>
  <c r="AC111"/>
  <c r="AC105"/>
  <c r="AG107"/>
  <c r="AI111"/>
  <c r="AC121"/>
  <c r="AC122"/>
  <c r="AL109"/>
  <c r="AD109"/>
  <c r="AD102"/>
  <c r="AD118"/>
  <c r="AK115"/>
  <c r="AK123"/>
  <c r="AJ102"/>
  <c r="AJ125"/>
  <c r="AJ110"/>
  <c r="AJ124"/>
  <c r="AF110"/>
  <c r="AF112"/>
  <c r="AF120"/>
  <c r="AF121"/>
  <c r="AG102"/>
  <c r="AG125"/>
  <c r="AG110"/>
  <c r="AG114"/>
  <c r="AI125"/>
  <c r="AC118"/>
  <c r="AK109"/>
  <c r="AK112"/>
  <c r="AK105"/>
  <c r="AJ119"/>
  <c r="AJ115"/>
  <c r="AJ101"/>
  <c r="AF105"/>
  <c r="AF119"/>
  <c r="AG119"/>
  <c r="AG115"/>
  <c r="AG101"/>
  <c r="AG105"/>
  <c r="AI110"/>
  <c r="AI102"/>
  <c r="AC102"/>
  <c r="AC123"/>
  <c r="AI119"/>
  <c r="AC112"/>
  <c r="AC114"/>
  <c r="AC108"/>
  <c r="AA123"/>
  <c r="AA120"/>
  <c r="AA124"/>
  <c r="AA119"/>
  <c r="AE108"/>
  <c r="AE101"/>
  <c r="AE112"/>
  <c r="AE105"/>
  <c r="AE109"/>
  <c r="AH123"/>
  <c r="AH118"/>
  <c r="AG109"/>
  <c r="AG118"/>
  <c r="AI106"/>
  <c r="AI101"/>
  <c r="AI112"/>
  <c r="AI117"/>
  <c r="AI104"/>
  <c r="AC119"/>
  <c r="AF126"/>
  <c r="AF127"/>
  <c r="AI126"/>
  <c r="AI127"/>
  <c r="AG126"/>
  <c r="AG127"/>
  <c r="AK126"/>
  <c r="AK127"/>
  <c r="AC126"/>
  <c r="AC127"/>
  <c r="AE126"/>
  <c r="AE127"/>
  <c r="AJ126"/>
  <c r="AJ127"/>
  <c r="AL126"/>
  <c r="AL127"/>
  <c r="O159"/>
  <c r="O160"/>
  <c r="S159"/>
  <c r="S160"/>
  <c r="V159"/>
  <c r="V160"/>
  <c r="U159"/>
  <c r="U160"/>
  <c r="M159"/>
  <c r="M160"/>
  <c r="Q159"/>
  <c r="Q160"/>
  <c r="P159"/>
  <c r="P160"/>
  <c r="T159"/>
  <c r="T160"/>
  <c r="M70" i="1"/>
  <c r="AA126" i="8"/>
  <c r="AA127"/>
  <c r="N70" i="1"/>
  <c r="M176" i="8"/>
  <c r="O70" i="1"/>
  <c r="AD94" i="8"/>
  <c r="R158"/>
  <c r="R159"/>
  <c r="R160"/>
  <c r="AH125"/>
  <c r="N158"/>
  <c r="AD125"/>
  <c r="P70" i="1"/>
  <c r="AD101" i="8"/>
  <c r="N135"/>
  <c r="AD126"/>
  <c r="AD127"/>
  <c r="AH126"/>
  <c r="AH127"/>
  <c r="N159"/>
  <c r="N160"/>
  <c r="W160"/>
  <c r="Q70" i="1"/>
  <c r="AM127" i="8"/>
  <c r="R70" i="1"/>
  <c r="AD129" i="8"/>
  <c r="C142"/>
  <c r="D142"/>
  <c r="C143"/>
  <c r="C140"/>
  <c r="D140"/>
  <c r="C141"/>
  <c r="C139"/>
  <c r="AB71" i="1"/>
  <c r="C38"/>
  <c r="C41"/>
  <c r="AC129" i="8"/>
  <c r="AF129"/>
  <c r="AG129"/>
  <c r="AJ129"/>
  <c r="AI129"/>
  <c r="AB129"/>
  <c r="AH129"/>
  <c r="AM128"/>
  <c r="AL129"/>
  <c r="AE129"/>
  <c r="AA129"/>
  <c r="AK129"/>
  <c r="Z71" i="1"/>
  <c r="S70"/>
  <c r="AC71"/>
  <c r="AC82"/>
  <c r="D143" i="8"/>
  <c r="AC74" i="1"/>
  <c r="AA71"/>
  <c r="AA82"/>
  <c r="D141" i="8"/>
  <c r="Y71" i="1"/>
  <c r="Y82"/>
  <c r="D139" i="8"/>
  <c r="Y74" i="1"/>
  <c r="Z82"/>
  <c r="AB82"/>
  <c r="C40"/>
  <c r="Z129" i="8"/>
  <c r="C144"/>
  <c r="R240" i="6"/>
  <c r="AB74" i="1"/>
  <c r="AB80"/>
  <c r="AA74"/>
  <c r="AA80"/>
  <c r="Z74"/>
  <c r="Z80"/>
  <c r="K240" i="6"/>
  <c r="N240"/>
  <c r="T70" i="1"/>
  <c r="S240" i="6"/>
  <c r="H240"/>
  <c r="Y80" i="1"/>
  <c r="D144" i="8"/>
  <c r="D240" i="6"/>
  <c r="J240"/>
  <c r="G240"/>
  <c r="I240"/>
  <c r="O240"/>
  <c r="L240"/>
  <c r="P240"/>
  <c r="Q240"/>
  <c r="E240"/>
  <c r="M240"/>
  <c r="F240"/>
  <c r="U70" i="1"/>
  <c r="T240" i="6"/>
  <c r="J92"/>
  <c r="J103"/>
  <c r="J104"/>
  <c r="N92"/>
  <c r="N103"/>
  <c r="N104"/>
  <c r="N94"/>
  <c r="N95"/>
  <c r="D92"/>
  <c r="D94"/>
  <c r="D95"/>
  <c r="H92"/>
  <c r="H97"/>
  <c r="H98"/>
  <c r="G92"/>
  <c r="G100"/>
  <c r="G101"/>
  <c r="F92"/>
  <c r="F106"/>
  <c r="F107"/>
  <c r="I92"/>
  <c r="I103"/>
  <c r="I104"/>
  <c r="R92"/>
  <c r="R103"/>
  <c r="R104"/>
  <c r="S92"/>
  <c r="S94"/>
  <c r="S95"/>
  <c r="L92"/>
  <c r="L106"/>
  <c r="L107"/>
  <c r="V70" i="1"/>
  <c r="W70"/>
  <c r="J100" i="6"/>
  <c r="J101"/>
  <c r="N106"/>
  <c r="N107"/>
  <c r="N100"/>
  <c r="N101"/>
  <c r="J97"/>
  <c r="J98"/>
  <c r="J106"/>
  <c r="J107"/>
  <c r="J94"/>
  <c r="J95"/>
  <c r="P92"/>
  <c r="P106"/>
  <c r="P107"/>
  <c r="N97"/>
  <c r="N98"/>
  <c r="O92"/>
  <c r="O94"/>
  <c r="O95"/>
  <c r="I106"/>
  <c r="I107"/>
  <c r="H94"/>
  <c r="H95"/>
  <c r="H106"/>
  <c r="H107"/>
  <c r="I100"/>
  <c r="I101"/>
  <c r="I97"/>
  <c r="I98"/>
  <c r="S103"/>
  <c r="S104"/>
  <c r="I94"/>
  <c r="I95"/>
  <c r="S106"/>
  <c r="S107"/>
  <c r="S97"/>
  <c r="S98"/>
  <c r="H100"/>
  <c r="H101"/>
  <c r="F103"/>
  <c r="F104"/>
  <c r="R106"/>
  <c r="R107"/>
  <c r="R100"/>
  <c r="R101"/>
  <c r="H103"/>
  <c r="H104"/>
  <c r="S100"/>
  <c r="S101"/>
  <c r="F100"/>
  <c r="F101"/>
  <c r="G106"/>
  <c r="G107"/>
  <c r="D103"/>
  <c r="D104"/>
  <c r="L97"/>
  <c r="L98"/>
  <c r="L100"/>
  <c r="L101"/>
  <c r="D97"/>
  <c r="D98"/>
  <c r="L94"/>
  <c r="L95"/>
  <c r="F97"/>
  <c r="F98"/>
  <c r="R97"/>
  <c r="R98"/>
  <c r="G103"/>
  <c r="G104"/>
  <c r="G94"/>
  <c r="G95"/>
  <c r="L103"/>
  <c r="L104"/>
  <c r="F94"/>
  <c r="F95"/>
  <c r="R94"/>
  <c r="R95"/>
  <c r="D106"/>
  <c r="D107"/>
  <c r="D100"/>
  <c r="D101"/>
  <c r="G97"/>
  <c r="G98"/>
  <c r="K92"/>
  <c r="K94"/>
  <c r="K95"/>
  <c r="M92"/>
  <c r="M100"/>
  <c r="M101"/>
  <c r="Q92"/>
  <c r="Q97"/>
  <c r="Q98"/>
  <c r="E92"/>
  <c r="E94"/>
  <c r="E95"/>
  <c r="U240"/>
  <c r="X70" i="1"/>
  <c r="N110" i="6"/>
  <c r="N111"/>
  <c r="J110"/>
  <c r="J111"/>
  <c r="P103"/>
  <c r="P104"/>
  <c r="P94"/>
  <c r="P95"/>
  <c r="P97"/>
  <c r="P98"/>
  <c r="P100"/>
  <c r="P101"/>
  <c r="O106"/>
  <c r="O107"/>
  <c r="O103"/>
  <c r="O104"/>
  <c r="O100"/>
  <c r="O101"/>
  <c r="O97"/>
  <c r="O98"/>
  <c r="I110"/>
  <c r="I111"/>
  <c r="H110"/>
  <c r="H111"/>
  <c r="S110"/>
  <c r="S111"/>
  <c r="Q103"/>
  <c r="Q104"/>
  <c r="K103"/>
  <c r="K104"/>
  <c r="Q106"/>
  <c r="Q107"/>
  <c r="D110"/>
  <c r="D111"/>
  <c r="C114"/>
  <c r="F110"/>
  <c r="F111"/>
  <c r="R110"/>
  <c r="R111"/>
  <c r="E97"/>
  <c r="E98"/>
  <c r="K97"/>
  <c r="K98"/>
  <c r="L110"/>
  <c r="L111"/>
  <c r="Q94"/>
  <c r="Q95"/>
  <c r="K100"/>
  <c r="K101"/>
  <c r="E103"/>
  <c r="E104"/>
  <c r="M97"/>
  <c r="M98"/>
  <c r="M94"/>
  <c r="M95"/>
  <c r="E106"/>
  <c r="E107"/>
  <c r="Q100"/>
  <c r="Q101"/>
  <c r="K106"/>
  <c r="K107"/>
  <c r="G110"/>
  <c r="G111"/>
  <c r="E100"/>
  <c r="E101"/>
  <c r="M103"/>
  <c r="M104"/>
  <c r="T92"/>
  <c r="T97"/>
  <c r="T98"/>
  <c r="M106"/>
  <c r="M107"/>
  <c r="V240"/>
  <c r="F139" i="8"/>
  <c r="Y70" i="1"/>
  <c r="P110" i="6"/>
  <c r="P111"/>
  <c r="O110"/>
  <c r="O111"/>
  <c r="K110"/>
  <c r="K111"/>
  <c r="T106"/>
  <c r="T107"/>
  <c r="Q110"/>
  <c r="Q111"/>
  <c r="E110"/>
  <c r="E111"/>
  <c r="T103"/>
  <c r="T104"/>
  <c r="M110"/>
  <c r="M111"/>
  <c r="T94"/>
  <c r="T95"/>
  <c r="T100"/>
  <c r="T101"/>
  <c r="U92"/>
  <c r="U94"/>
  <c r="U95"/>
  <c r="E139" i="8"/>
  <c r="H139"/>
  <c r="Y73" i="1"/>
  <c r="F140" i="8"/>
  <c r="U103" i="6"/>
  <c r="U104"/>
  <c r="U100"/>
  <c r="U101"/>
  <c r="T110"/>
  <c r="T111"/>
  <c r="U106"/>
  <c r="U107"/>
  <c r="U97"/>
  <c r="U98"/>
  <c r="V92"/>
  <c r="V106"/>
  <c r="V107"/>
  <c r="D114"/>
  <c r="E114"/>
  <c r="W240"/>
  <c r="Z70" i="1"/>
  <c r="E140" i="8"/>
  <c r="G140"/>
  <c r="Z72" i="1"/>
  <c r="G139" i="8"/>
  <c r="Y72" i="1"/>
  <c r="Y79"/>
  <c r="F141" i="8"/>
  <c r="V94" i="6"/>
  <c r="V95"/>
  <c r="U110"/>
  <c r="U111"/>
  <c r="W92"/>
  <c r="W103"/>
  <c r="W104"/>
  <c r="V97"/>
  <c r="V98"/>
  <c r="V100"/>
  <c r="V101"/>
  <c r="V103"/>
  <c r="V104"/>
  <c r="F114"/>
  <c r="X240"/>
  <c r="AA70" i="1"/>
  <c r="H140" i="8"/>
  <c r="Z73" i="1"/>
  <c r="Z79"/>
  <c r="E141" i="8"/>
  <c r="G141"/>
  <c r="AA72" i="1"/>
  <c r="AC80"/>
  <c r="Y78"/>
  <c r="Z78"/>
  <c r="F142" i="8"/>
  <c r="W94" i="6"/>
  <c r="W95"/>
  <c r="V110"/>
  <c r="V111"/>
  <c r="W97"/>
  <c r="W98"/>
  <c r="W106"/>
  <c r="W107"/>
  <c r="W100"/>
  <c r="W101"/>
  <c r="Y67"/>
  <c r="Y68"/>
  <c r="Z86" i="1"/>
  <c r="Z88"/>
  <c r="G114" i="6"/>
  <c r="Y83" i="1"/>
  <c r="X67" i="6"/>
  <c r="X68"/>
  <c r="Y86" i="1"/>
  <c r="Y88"/>
  <c r="Y240" i="6"/>
  <c r="AB70" i="1"/>
  <c r="H141" i="8"/>
  <c r="AA73" i="1"/>
  <c r="AA79"/>
  <c r="E142" i="8"/>
  <c r="G142"/>
  <c r="AB72" i="1"/>
  <c r="Z83"/>
  <c r="F143" i="8"/>
  <c r="AA78" i="1"/>
  <c r="W110" i="6"/>
  <c r="W111"/>
  <c r="X92"/>
  <c r="X94"/>
  <c r="X95"/>
  <c r="Y89" i="1"/>
  <c r="Y92" i="6"/>
  <c r="Y106"/>
  <c r="Y107"/>
  <c r="Z89" i="1"/>
  <c r="Z67" i="6"/>
  <c r="Z68"/>
  <c r="AA86" i="1"/>
  <c r="AA88"/>
  <c r="H114" i="6"/>
  <c r="Z240"/>
  <c r="AC70" i="1"/>
  <c r="E143" i="8"/>
  <c r="G143"/>
  <c r="AC72" i="1"/>
  <c r="H142" i="8"/>
  <c r="AB73" i="1"/>
  <c r="AB79"/>
  <c r="AA83"/>
  <c r="F144" i="8"/>
  <c r="AB78" i="1"/>
  <c r="Y94" i="6"/>
  <c r="Y95"/>
  <c r="X103"/>
  <c r="X104"/>
  <c r="X106"/>
  <c r="X107"/>
  <c r="X97"/>
  <c r="X98"/>
  <c r="X100"/>
  <c r="X101"/>
  <c r="Y97"/>
  <c r="Y98"/>
  <c r="Y103"/>
  <c r="Y104"/>
  <c r="Z92"/>
  <c r="Z94"/>
  <c r="Z95"/>
  <c r="AA89" i="1"/>
  <c r="Y100" i="6"/>
  <c r="Y101"/>
  <c r="AA67"/>
  <c r="AA68"/>
  <c r="AB86" i="1"/>
  <c r="AB88"/>
  <c r="I114" i="6"/>
  <c r="AB240"/>
  <c r="AA240"/>
  <c r="H143" i="8"/>
  <c r="AC73" i="1"/>
  <c r="AB83"/>
  <c r="E144" i="8"/>
  <c r="Z106" i="6"/>
  <c r="Z107"/>
  <c r="Y110"/>
  <c r="Y111"/>
  <c r="Z87" i="1"/>
  <c r="Z98"/>
  <c r="X110" i="6"/>
  <c r="X111"/>
  <c r="Y87" i="1"/>
  <c r="Y98"/>
  <c r="Z100" i="6"/>
  <c r="Z101"/>
  <c r="Z97"/>
  <c r="Z98"/>
  <c r="AA92"/>
  <c r="AA100"/>
  <c r="AA101"/>
  <c r="AB89" i="1"/>
  <c r="Z103" i="6"/>
  <c r="Z104"/>
  <c r="J114"/>
  <c r="H144" i="8"/>
  <c r="AC79" i="1"/>
  <c r="G144" i="8"/>
  <c r="AC78" i="1"/>
  <c r="Z110" i="6"/>
  <c r="Z111"/>
  <c r="AA87" i="1"/>
  <c r="AA98"/>
  <c r="AA106" i="6"/>
  <c r="AA107"/>
  <c r="AA103"/>
  <c r="AA104"/>
  <c r="AA94"/>
  <c r="AA95"/>
  <c r="AA97"/>
  <c r="AA98"/>
  <c r="AB67"/>
  <c r="AB68"/>
  <c r="AC86" i="1"/>
  <c r="AC88"/>
  <c r="K114" i="6"/>
  <c r="AC83" i="1"/>
  <c r="AA110" i="6"/>
  <c r="AA111"/>
  <c r="AB87" i="1"/>
  <c r="AB98"/>
  <c r="AB92" i="6"/>
  <c r="AB100"/>
  <c r="AB101"/>
  <c r="AC89" i="1"/>
  <c r="L114" i="6"/>
  <c r="AB97"/>
  <c r="AB98"/>
  <c r="AB103"/>
  <c r="AB104"/>
  <c r="AB94"/>
  <c r="AB95"/>
  <c r="AB106"/>
  <c r="AB107"/>
  <c r="M114"/>
  <c r="AB110"/>
  <c r="AB111"/>
  <c r="AC87" i="1"/>
  <c r="AC98"/>
  <c r="N114" i="6"/>
  <c r="O114"/>
  <c r="P114"/>
  <c r="Q114"/>
  <c r="R114"/>
  <c r="S114"/>
  <c r="T114"/>
  <c r="U114"/>
  <c r="V114"/>
  <c r="Y101" i="1"/>
  <c r="Z101"/>
  <c r="AA101"/>
  <c r="AB101"/>
  <c r="AC101"/>
  <c r="I54"/>
  <c r="I53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sz val="8"/>
            <color indexed="81"/>
            <rFont val="Tahoma"/>
            <family val="2"/>
          </rPr>
          <t>angolo calcolato a partire da sud, positivo andando verso ovest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<sst xmlns="http://schemas.openxmlformats.org/spreadsheetml/2006/main" count="2337" uniqueCount="284">
  <si>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</si>
  <si>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</si>
  <si>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</si>
  <si>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</si>
  <si>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</si>
  <si>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</si>
  <si>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</si>
  <si>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</si>
  <si>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</si>
  <si>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</si>
  <si>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</si>
  <si>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</si>
  <si>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</si>
  <si>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</si>
  <si>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</si>
  <si>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</si>
  <si>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</si>
  <si>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</si>
  <si>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</si>
  <si>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</si>
  <si>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</si>
  <si>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</si>
  <si>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</si>
  <si>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</si>
  <si>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</si>
  <si>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</si>
  <si>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</si>
  <si>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</si>
  <si>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</si>
  <si>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</si>
  <si>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</si>
  <si>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</si>
  <si>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</si>
  <si>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</si>
  <si>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</si>
  <si>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</si>
  <si>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</si>
  <si>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</si>
  <si>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</si>
  <si>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</si>
  <si>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</si>
  <si>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</si>
  <si>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</si>
  <si>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</si>
  <si>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</si>
  <si>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</si>
  <si>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</si>
  <si>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</si>
  <si>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</si>
  <si>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</si>
  <si>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</si>
  <si>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</si>
  <si>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</si>
  <si>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</si>
  <si>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</si>
  <si>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</si>
  <si>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</si>
  <si>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</si>
  <si>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</si>
  <si>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</si>
  <si>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</si>
  <si>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</si>
  <si>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</si>
  <si>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</si>
  <si>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</si>
  <si>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</si>
  <si>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</si>
  <si>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</si>
  <si>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</si>
  <si>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</si>
  <si>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</si>
  <si>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</si>
  <si>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</si>
  <si>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</si>
  <si>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</si>
  <si>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</si>
  <si>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</si>
  <si>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</si>
  <si>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</si>
  <si>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</si>
  <si>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</si>
  <si>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</si>
  <si>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</si>
  <si>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</si>
  <si>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</si>
  <si>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</si>
  <si>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</si>
  <si>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</si>
  <si>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</si>
  <si>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</si>
  <si>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</si>
  <si>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</si>
  <si>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</si>
  <si>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</si>
  <si>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</si>
  <si>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</si>
  <si>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</si>
  <si>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</si>
  <si>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</si>
  <si>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</si>
  <si>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</si>
  <si>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</si>
  <si>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</si>
  <si>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</si>
  <si>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</si>
  <si>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</si>
  <si>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</si>
  <si>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</si>
  <si>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</si>
  <si>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</si>
  <si>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</si>
  <si>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</si>
  <si>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</si>
  <si>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</si>
  <si>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</si>
  <si>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</si>
  <si>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Tipo di Impianto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</si>
  <si>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</si>
  <si>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</si>
  <si>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</si>
  <si>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</si>
  <si>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</si>
  <si>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</si>
  <si>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</si>
  <si>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</si>
  <si>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</si>
  <si>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</si>
  <si>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</si>
  <si>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</si>
  <si>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</si>
  <si>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</si>
  <si>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</si>
  <si>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</si>
  <si>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</si>
  <si>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</si>
  <si>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</si>
  <si>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</si>
  <si>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</si>
  <si>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</si>
  <si>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</si>
  <si>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</si>
  <si>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</si>
  <si>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</si>
  <si>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</si>
  <si>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</si>
  <si>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</si>
  <si>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</si>
  <si>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</si>
  <si>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</si>
  <si>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</si>
  <si>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</si>
  <si>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</si>
  <si>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</si>
  <si>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</si>
  <si>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</si>
  <si>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</si>
  <si>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</si>
  <si>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</si>
  <si>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</si>
  <si>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</si>
  <si>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</si>
  <si>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</si>
  <si>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</si>
  <si>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</si>
  <si>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</si>
  <si>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</si>
  <si>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</si>
  <si>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</si>
  <si>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</si>
  <si>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</si>
  <si>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</si>
  <si>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</si>
  <si>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</si>
  <si>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</si>
  <si>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</si>
  <si>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</si>
  <si>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</si>
  <si>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</si>
  <si>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</si>
  <si>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</si>
  <si>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</si>
  <si>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</si>
  <si>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</si>
  <si>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</si>
  <si>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</si>
  <si>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</si>
  <si>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</si>
  <si>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</si>
  <si>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</si>
  <si>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</si>
  <si>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</si>
  <si>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</si>
  <si>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</si>
  <si>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</si>
  <si>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</si>
  <si>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</si>
  <si>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</si>
  <si>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</si>
  <si>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</si>
  <si>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</si>
  <si>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</si>
  <si>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</si>
  <si>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</si>
  <si>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</si>
  <si>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</si>
  <si>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</si>
  <si>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</si>
  <si>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</si>
  <si>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</si>
  <si>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</si>
  <si>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</si>
  <si>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</si>
  <si>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</si>
  <si>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</si>
  <si>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Contributo Scambio Sul Posto</t>
  </si>
  <si>
    <t>Eccedenze  (per calcolo SSP se previsto)</t>
  </si>
  <si>
    <t>Clicca per dettagli finanziamento</t>
  </si>
  <si>
    <t>Totali</t>
  </si>
  <si>
    <t>Dato %</t>
  </si>
  <si>
    <t>% [kW]</t>
  </si>
  <si>
    <t xml:space="preserve">Distribuzione oraria percentuale della potenza prelevata dalla rete in un giorno tipico di uno specifico mese dell'anno </t>
  </si>
  <si>
    <t>Distribuzione statistica percentuale kWh giornalieri prodotti in un giorno tipico di uno specifico mese dell'anno - Sistema fisso</t>
  </si>
  <si>
    <t>ora del giorno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</si>
  <si>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</si>
  <si>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</si>
  <si>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</si>
  <si>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</si>
  <si>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</si>
  <si>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</si>
  <si>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</si>
  <si>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</si>
  <si>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</si>
  <si>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</si>
  <si>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</si>
  <si>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</si>
  <si>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% [kW]</t>
  </si>
  <si>
    <t>Controllo</t>
  </si>
  <si>
    <t>controllo</t>
  </si>
  <si>
    <t xml:space="preserve">Distribuzione kWh giornalieri consumati in un giorno tipico di uno specifico mese dell'anno </t>
  </si>
  <si>
    <t>Distribuzione kWh giornalieri prodotti in un giorno tipico di uno specifico mese dell'anno - Sistema fisso</t>
  </si>
  <si>
    <t>kWh/giorno</t>
  </si>
  <si>
    <t>Tot anno</t>
  </si>
  <si>
    <t>Tot mese</t>
  </si>
  <si>
    <t>Somma</t>
  </si>
  <si>
    <t xml:space="preserve">Quota Autoconsumata sulla produzione in un giorno tipico del mese </t>
  </si>
  <si>
    <t xml:space="preserve">Quota Immessa in rete sulla produzione in un giorno tipico del mese </t>
  </si>
  <si>
    <t>Consumi 1° anno</t>
  </si>
  <si>
    <t>Produzione</t>
  </si>
  <si>
    <t>Immissione in rete</t>
  </si>
  <si>
    <t>Prelievo dalla rete</t>
  </si>
  <si>
    <t>Consumi</t>
  </si>
  <si>
    <t>% Autoconsumo</t>
  </si>
  <si>
    <t>% Immesso in rete</t>
  </si>
  <si>
    <t>Consumi/Prelievo dalla Rete in un giorno medio del mese medio</t>
  </si>
  <si>
    <t>TOTALE</t>
  </si>
  <si>
    <t>PRIMO ANNO</t>
  </si>
  <si>
    <t>Consumo</t>
  </si>
  <si>
    <t>aprile</t>
  </si>
  <si>
    <t xml:space="preserve">novembre </t>
  </si>
  <si>
    <t>Autoconsumo (standard statistico)</t>
  </si>
  <si>
    <t>Verifica</t>
  </si>
  <si>
    <t>Produttivita</t>
  </si>
  <si>
    <t>Prod</t>
  </si>
  <si>
    <t>Esubero</t>
  </si>
  <si>
    <t>Eccedenze</t>
  </si>
  <si>
    <t>Importo annuale (12 rate)</t>
  </si>
  <si>
    <t>Per sbloccare il foglio di lavoro andare nel menu "revisione" e cliccare su "rimuivi protezione foglio). Per ripristinare la protezione cliccare su "proteggi foglio".</t>
  </si>
  <si>
    <t>Ricavi (GSE) / Detrazioni Fiscali</t>
  </si>
  <si>
    <t>Detrazioni Fiscali 50%</t>
  </si>
  <si>
    <t>Applicazione detrazioni</t>
  </si>
  <si>
    <t>Torna alla pagina dei calcoli</t>
  </si>
  <si>
    <t>Produttività (decadimento 0,9% annuo)</t>
  </si>
  <si>
    <t>Consumo in esubero (calcolo SSP se previsto)</t>
  </si>
  <si>
    <r>
      <rPr>
        <b/>
        <sz val="11"/>
        <color theme="1"/>
        <rFont val="Calibri"/>
        <family val="2"/>
        <scheme val="minor"/>
      </rPr>
      <t>Impianti Integrati</t>
    </r>
    <r>
      <rPr>
        <sz val="11"/>
        <color theme="1"/>
        <rFont val="Calibri"/>
        <family val="2"/>
        <scheme val="minor"/>
      </rPr>
      <t xml:space="preserve"> Titolo III su edifici</t>
    </r>
  </si>
  <si>
    <r>
      <rPr>
        <b/>
        <sz val="11"/>
        <color theme="1"/>
        <rFont val="Calibri"/>
        <family val="2"/>
        <scheme val="minor"/>
      </rPr>
      <t>Impianti Fotovoltaici</t>
    </r>
    <r>
      <rPr>
        <sz val="11"/>
        <color theme="1"/>
        <rFont val="Calibri"/>
        <family val="2"/>
        <scheme val="minor"/>
      </rPr>
      <t xml:space="preserve"> Titolo II su edificI</t>
    </r>
  </si>
  <si>
    <t>Eventuale riduzione tariffa 20% per esenzione registro</t>
  </si>
  <si>
    <t>Calcolo automatico autoconsumo</t>
  </si>
  <si>
    <t>Aumento forzato autoconsumo</t>
  </si>
  <si>
    <t>Per aumentare l'autoconsumo forzando il dato calcolato in automatico su prelievi standard nelle fasce orarie (ad esempio per attività industriali)</t>
  </si>
  <si>
    <t>Costo rimanente</t>
  </si>
  <si>
    <t>calcolo TIR</t>
  </si>
  <si>
    <t>Tasso interno di rendimento</t>
  </si>
  <si>
    <t>PV-Xcel 8.4 -  Calcolo impianto fotovoltaico Quinto Conto Energia</t>
  </si>
  <si>
    <t/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</si>
</sst>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  <numFmt numFmtId="173" formatCode="0.0%"/>
    <numFmt numFmtId="174" formatCode="&quot;€&quot;\ #,##0.00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51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8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0" xfId="0" applyNumberFormat="1" applyFont="1" applyBorder="1" applyAlignment="1">
      <alignment horizontal="right"/>
    </xf>
    <xf numFmtId="1" fontId="17" fillId="0" borderId="30" xfId="0" applyNumberFormat="1" applyFont="1" applyBorder="1" applyAlignment="1">
      <alignment horizontal="right"/>
    </xf>
    <xf numFmtId="14" fontId="17" fillId="0" borderId="3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9" xfId="0" applyNumberFormat="1" applyFont="1" applyFill="1" applyBorder="1" applyAlignment="1">
      <alignment horizontal="right"/>
    </xf>
    <xf numFmtId="1" fontId="17" fillId="9" borderId="30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8" xfId="0" applyNumberFormat="1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 wrapText="1" indent="1"/>
    </xf>
    <xf numFmtId="4" fontId="17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170" fontId="17" fillId="0" borderId="34" xfId="0" applyNumberFormat="1" applyFont="1" applyBorder="1" applyAlignment="1">
      <alignment horizontal="right"/>
    </xf>
    <xf numFmtId="170" fontId="17" fillId="0" borderId="35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6" xfId="0" applyFont="1" applyBorder="1" applyProtection="1"/>
    <xf numFmtId="0" fontId="1" fillId="0" borderId="37" xfId="0" applyFont="1" applyBorder="1" applyProtection="1"/>
    <xf numFmtId="0" fontId="4" fillId="0" borderId="38" xfId="0" applyFont="1" applyBorder="1" applyProtection="1"/>
    <xf numFmtId="0" fontId="1" fillId="0" borderId="25" xfId="0" applyFont="1" applyBorder="1" applyProtection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0" xfId="0" applyFont="1" applyFill="1" applyBorder="1" applyAlignment="1" applyProtection="1">
      <alignment horizontal="right"/>
      <protection locked="0"/>
    </xf>
    <xf numFmtId="164" fontId="10" fillId="2" borderId="40" xfId="0" applyNumberFormat="1" applyFont="1" applyFill="1" applyBorder="1" applyAlignment="1" applyProtection="1">
      <alignment horizontal="right"/>
      <protection locked="0"/>
    </xf>
    <xf numFmtId="0" fontId="3" fillId="3" borderId="40" xfId="0" applyFont="1" applyFill="1" applyBorder="1" applyAlignment="1" applyProtection="1">
      <alignment horizontal="right"/>
    </xf>
    <xf numFmtId="1" fontId="3" fillId="3" borderId="40" xfId="0" applyNumberFormat="1" applyFont="1" applyFill="1" applyBorder="1" applyAlignment="1" applyProtection="1">
      <alignment horizontal="right"/>
    </xf>
    <xf numFmtId="165" fontId="10" fillId="2" borderId="40" xfId="0" applyNumberFormat="1" applyFont="1" applyFill="1" applyBorder="1" applyAlignment="1" applyProtection="1">
      <alignment horizontal="right"/>
      <protection locked="0"/>
    </xf>
    <xf numFmtId="164" fontId="10" fillId="2" borderId="4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/>
    <xf numFmtId="0" fontId="24" fillId="0" borderId="13" xfId="0" applyFont="1" applyFill="1" applyBorder="1"/>
    <xf numFmtId="0" fontId="24" fillId="0" borderId="0" xfId="0" applyFont="1" applyFill="1" applyProtection="1">
      <protection locked="0"/>
    </xf>
    <xf numFmtId="167" fontId="24" fillId="0" borderId="0" xfId="0" applyNumberFormat="1" applyFont="1" applyFill="1" applyProtection="1">
      <protection locked="0"/>
    </xf>
    <xf numFmtId="17" fontId="24" fillId="0" borderId="0" xfId="0" applyNumberFormat="1" applyFont="1" applyFill="1" applyProtection="1">
      <protection locked="0"/>
    </xf>
    <xf numFmtId="10" fontId="24" fillId="0" borderId="0" xfId="0" applyNumberFormat="1" applyFont="1" applyFill="1" applyProtection="1"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Protection="1">
      <protection locked="0"/>
    </xf>
    <xf numFmtId="2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2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Fill="1" applyBorder="1" applyAlignment="1" applyProtection="1">
      <alignment horizontal="center" wrapText="1"/>
      <protection locked="0"/>
    </xf>
    <xf numFmtId="2" fontId="29" fillId="0" borderId="13" xfId="0" applyNumberFormat="1" applyFont="1" applyFill="1" applyBorder="1" applyAlignment="1" applyProtection="1">
      <alignment horizontal="center" vertical="center"/>
      <protection locked="0"/>
    </xf>
    <xf numFmtId="2" fontId="29" fillId="0" borderId="42" xfId="0" applyNumberFormat="1" applyFont="1" applyFill="1" applyBorder="1" applyAlignment="1" applyProtection="1">
      <alignment horizontal="center" vertical="center"/>
      <protection locked="0"/>
    </xf>
    <xf numFmtId="171" fontId="31" fillId="0" borderId="12" xfId="0" applyNumberFormat="1" applyFont="1" applyFill="1" applyBorder="1" applyAlignment="1" applyProtection="1">
      <alignment horizontal="center" vertical="center"/>
      <protection locked="0"/>
    </xf>
    <xf numFmtId="171" fontId="31" fillId="0" borderId="52" xfId="0" applyNumberFormat="1" applyFont="1" applyFill="1" applyBorder="1" applyAlignment="1" applyProtection="1">
      <alignment horizontal="center" vertical="center"/>
      <protection locked="0"/>
    </xf>
    <xf numFmtId="171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10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73" fontId="24" fillId="0" borderId="0" xfId="3" applyNumberFormat="1" applyFont="1" applyFill="1" applyBorder="1" applyProtection="1"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171" fontId="32" fillId="0" borderId="45" xfId="0" applyNumberFormat="1" applyFont="1" applyFill="1" applyBorder="1" applyAlignment="1" applyProtection="1">
      <alignment horizontal="center" vertical="center"/>
      <protection locked="0"/>
    </xf>
    <xf numFmtId="171" fontId="32" fillId="0" borderId="51" xfId="0" applyNumberFormat="1" applyFont="1" applyFill="1" applyBorder="1" applyAlignment="1" applyProtection="1">
      <alignment horizontal="center" vertical="center"/>
      <protection locked="0"/>
    </xf>
    <xf numFmtId="171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53" xfId="0" applyFont="1" applyFill="1" applyBorder="1" applyAlignment="1" applyProtection="1">
      <alignment horizontal="center"/>
      <protection locked="0"/>
    </xf>
    <xf numFmtId="10" fontId="31" fillId="0" borderId="5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6" fillId="0" borderId="13" xfId="0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5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 applyProtection="1">
      <alignment horizontal="center"/>
      <protection locked="0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Protection="1"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4" fillId="0" borderId="46" xfId="0" applyNumberFormat="1" applyFont="1" applyFill="1" applyBorder="1" applyAlignment="1" applyProtection="1">
      <alignment horizontal="center" vertical="center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43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Protection="1">
      <protection locked="0"/>
    </xf>
    <xf numFmtId="43" fontId="24" fillId="0" borderId="0" xfId="2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4" fillId="0" borderId="3" xfId="0" applyFont="1" applyFill="1" applyBorder="1" applyProtection="1">
      <protection locked="0"/>
    </xf>
    <xf numFmtId="0" fontId="24" fillId="0" borderId="4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Protection="1">
      <protection locked="0"/>
    </xf>
    <xf numFmtId="4" fontId="24" fillId="5" borderId="5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/>
    <xf numFmtId="2" fontId="24" fillId="5" borderId="13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7" xfId="0" applyNumberFormat="1" applyFont="1" applyFill="1" applyBorder="1" applyAlignment="1" applyProtection="1">
      <alignment horizontal="center"/>
      <protection locked="0"/>
    </xf>
    <xf numFmtId="2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2" xfId="0" applyNumberFormat="1" applyFont="1" applyFill="1" applyBorder="1" applyProtection="1">
      <protection locked="0"/>
    </xf>
    <xf numFmtId="2" fontId="24" fillId="0" borderId="0" xfId="0" applyNumberFormat="1" applyFont="1" applyFill="1"/>
    <xf numFmtId="2" fontId="24" fillId="0" borderId="0" xfId="0" applyNumberFormat="1" applyFont="1" applyFill="1" applyBorder="1"/>
    <xf numFmtId="2" fontId="24" fillId="0" borderId="5" xfId="0" applyNumberFormat="1" applyFont="1" applyFill="1" applyBorder="1"/>
    <xf numFmtId="2" fontId="24" fillId="0" borderId="7" xfId="0" applyNumberFormat="1" applyFont="1" applyFill="1" applyBorder="1"/>
    <xf numFmtId="2" fontId="24" fillId="0" borderId="8" xfId="0" applyNumberFormat="1" applyFont="1" applyFill="1" applyBorder="1"/>
    <xf numFmtId="2" fontId="29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>
      <protection locked="0"/>
    </xf>
    <xf numFmtId="3" fontId="3" fillId="3" borderId="0" xfId="0" applyNumberFormat="1" applyFont="1" applyFill="1" applyBorder="1" applyAlignment="1" applyProtection="1">
      <alignment horizontal="right"/>
    </xf>
    <xf numFmtId="166" fontId="10" fillId="0" borderId="9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left"/>
    </xf>
    <xf numFmtId="0" fontId="3" fillId="0" borderId="6" xfId="0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4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Protection="1"/>
    <xf numFmtId="164" fontId="7" fillId="0" borderId="7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" fontId="0" fillId="8" borderId="1" xfId="0" applyNumberFormat="1" applyFont="1" applyFill="1" applyBorder="1" applyAlignment="1" applyProtection="1">
      <alignment horizontal="center"/>
    </xf>
    <xf numFmtId="1" fontId="0" fillId="8" borderId="2" xfId="0" applyNumberFormat="1" applyFont="1" applyFill="1" applyBorder="1" applyAlignment="1" applyProtection="1">
      <alignment horizontal="center"/>
    </xf>
    <xf numFmtId="1" fontId="0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6" borderId="6" xfId="0" applyNumberFormat="1" applyFont="1" applyFill="1" applyBorder="1" applyAlignment="1" applyProtection="1">
      <alignment horizontal="center"/>
    </xf>
    <xf numFmtId="166" fontId="0" fillId="6" borderId="7" xfId="0" applyNumberFormat="1" applyFont="1" applyFill="1" applyBorder="1" applyAlignment="1" applyProtection="1">
      <alignment horizontal="center"/>
    </xf>
    <xf numFmtId="166" fontId="0" fillId="6" borderId="8" xfId="0" applyNumberFormat="1" applyFont="1" applyFill="1" applyBorder="1" applyAlignment="1" applyProtection="1">
      <alignment horizontal="center"/>
    </xf>
    <xf numFmtId="166" fontId="0" fillId="7" borderId="6" xfId="0" applyNumberFormat="1" applyFont="1" applyFill="1" applyBorder="1" applyAlignment="1" applyProtection="1">
      <alignment horizontal="center"/>
    </xf>
    <xf numFmtId="166" fontId="0" fillId="7" borderId="7" xfId="0" applyNumberFormat="1" applyFont="1" applyFill="1" applyBorder="1" applyAlignment="1" applyProtection="1">
      <alignment horizontal="center"/>
    </xf>
    <xf numFmtId="166" fontId="0" fillId="7" borderId="8" xfId="0" applyNumberFormat="1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9" fillId="4" borderId="2" xfId="0" applyFont="1" applyFill="1" applyBorder="1" applyProtection="1"/>
    <xf numFmtId="0" fontId="4" fillId="4" borderId="4" xfId="0" applyFont="1" applyFill="1" applyBorder="1" applyProtection="1"/>
    <xf numFmtId="0" fontId="9" fillId="4" borderId="0" xfId="0" applyFont="1" applyFill="1" applyBorder="1" applyProtection="1"/>
    <xf numFmtId="0" fontId="4" fillId="7" borderId="4" xfId="0" applyFont="1" applyFill="1" applyBorder="1" applyProtection="1"/>
    <xf numFmtId="0" fontId="9" fillId="7" borderId="0" xfId="0" applyFont="1" applyFill="1" applyBorder="1" applyProtection="1"/>
    <xf numFmtId="0" fontId="4" fillId="10" borderId="6" xfId="0" applyFont="1" applyFill="1" applyBorder="1" applyProtection="1"/>
    <xf numFmtId="0" fontId="9" fillId="10" borderId="7" xfId="0" applyFont="1" applyFill="1" applyBorder="1" applyProtection="1"/>
    <xf numFmtId="0" fontId="9" fillId="10" borderId="8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8" borderId="5" xfId="0" applyFont="1" applyFill="1" applyBorder="1" applyProtection="1"/>
    <xf numFmtId="0" fontId="9" fillId="7" borderId="5" xfId="0" applyFont="1" applyFill="1" applyBorder="1" applyProtection="1"/>
    <xf numFmtId="0" fontId="4" fillId="8" borderId="1" xfId="0" applyFont="1" applyFill="1" applyBorder="1" applyProtection="1"/>
    <xf numFmtId="0" fontId="9" fillId="8" borderId="2" xfId="0" applyFont="1" applyFill="1" applyBorder="1" applyProtection="1"/>
    <xf numFmtId="0" fontId="9" fillId="8" borderId="3" xfId="0" applyFont="1" applyFill="1" applyBorder="1" applyProtection="1"/>
    <xf numFmtId="0" fontId="4" fillId="8" borderId="4" xfId="0" applyFont="1" applyFill="1" applyBorder="1" applyProtection="1"/>
    <xf numFmtId="0" fontId="9" fillId="8" borderId="0" xfId="0" applyFont="1" applyFill="1" applyBorder="1" applyProtection="1"/>
    <xf numFmtId="0" fontId="4" fillId="8" borderId="6" xfId="0" applyFont="1" applyFill="1" applyBorder="1" applyProtection="1"/>
    <xf numFmtId="0" fontId="9" fillId="8" borderId="7" xfId="0" applyFont="1" applyFill="1" applyBorder="1" applyProtection="1"/>
    <xf numFmtId="0" fontId="9" fillId="8" borderId="8" xfId="0" applyFont="1" applyFill="1" applyBorder="1" applyProtection="1"/>
    <xf numFmtId="0" fontId="4" fillId="5" borderId="1" xfId="0" applyFont="1" applyFill="1" applyBorder="1" applyProtection="1"/>
    <xf numFmtId="0" fontId="9" fillId="5" borderId="2" xfId="0" applyFont="1" applyFill="1" applyBorder="1" applyProtection="1"/>
    <xf numFmtId="0" fontId="9" fillId="5" borderId="3" xfId="0" applyFont="1" applyFill="1" applyBorder="1" applyProtection="1"/>
    <xf numFmtId="0" fontId="4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4" fillId="6" borderId="4" xfId="0" applyFont="1" applyFill="1" applyBorder="1" applyProtection="1"/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3" fillId="2" borderId="59" xfId="0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10" xfId="0" applyBorder="1" applyProtection="1"/>
    <xf numFmtId="0" fontId="5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166" fontId="0" fillId="5" borderId="4" xfId="0" applyNumberFormat="1" applyFont="1" applyFill="1" applyBorder="1" applyAlignment="1" applyProtection="1">
      <alignment horizontal="center" vertical="center"/>
    </xf>
    <xf numFmtId="166" fontId="0" fillId="5" borderId="5" xfId="0" applyNumberFormat="1" applyFont="1" applyFill="1" applyBorder="1" applyAlignment="1" applyProtection="1">
      <alignment horizontal="center" vertical="center"/>
    </xf>
    <xf numFmtId="166" fontId="0" fillId="5" borderId="1" xfId="0" applyNumberFormat="1" applyFont="1" applyFill="1" applyBorder="1" applyAlignment="1" applyProtection="1">
      <alignment horizontal="center"/>
    </xf>
    <xf numFmtId="166" fontId="0" fillId="5" borderId="2" xfId="0" applyNumberFormat="1" applyFont="1" applyFill="1" applyBorder="1" applyAlignment="1" applyProtection="1">
      <alignment horizontal="center"/>
    </xf>
    <xf numFmtId="166" fontId="0" fillId="5" borderId="3" xfId="0" applyNumberFormat="1" applyFont="1" applyFill="1" applyBorder="1" applyAlignment="1" applyProtection="1">
      <alignment horizontal="center"/>
    </xf>
    <xf numFmtId="166" fontId="0" fillId="5" borderId="6" xfId="0" applyNumberFormat="1" applyFont="1" applyFill="1" applyBorder="1" applyAlignment="1" applyProtection="1">
      <alignment horizontal="center"/>
    </xf>
    <xf numFmtId="166" fontId="0" fillId="5" borderId="7" xfId="0" applyNumberFormat="1" applyFont="1" applyFill="1" applyBorder="1" applyAlignment="1" applyProtection="1">
      <alignment horizontal="center"/>
    </xf>
    <xf numFmtId="166" fontId="0" fillId="5" borderId="8" xfId="0" applyNumberFormat="1" applyFont="1" applyFill="1" applyBorder="1" applyAlignment="1" applyProtection="1">
      <alignment horizontal="center"/>
    </xf>
    <xf numFmtId="1" fontId="0" fillId="8" borderId="6" xfId="0" applyNumberFormat="1" applyFont="1" applyFill="1" applyBorder="1" applyAlignment="1" applyProtection="1">
      <alignment horizontal="center"/>
    </xf>
    <xf numFmtId="1" fontId="0" fillId="8" borderId="7" xfId="0" applyNumberFormat="1" applyFont="1" applyFill="1" applyBorder="1" applyAlignment="1" applyProtection="1">
      <alignment horizontal="center"/>
    </xf>
    <xf numFmtId="1" fontId="0" fillId="8" borderId="8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9" fontId="0" fillId="0" borderId="13" xfId="0" applyNumberFormat="1" applyBorder="1" applyProtection="1"/>
    <xf numFmtId="0" fontId="0" fillId="0" borderId="13" xfId="0" applyBorder="1" applyProtection="1"/>
    <xf numFmtId="9" fontId="1" fillId="0" borderId="13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9" fontId="1" fillId="0" borderId="13" xfId="0" applyNumberFormat="1" applyFont="1" applyBorder="1" applyProtection="1"/>
    <xf numFmtId="0" fontId="1" fillId="0" borderId="13" xfId="0" applyFont="1" applyBorder="1" applyProtection="1"/>
    <xf numFmtId="0" fontId="1" fillId="0" borderId="13" xfId="0" applyFont="1" applyFill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4" fontId="11" fillId="0" borderId="0" xfId="1" applyNumberFormat="1" applyFont="1" applyAlignment="1" applyProtection="1"/>
    <xf numFmtId="166" fontId="3" fillId="3" borderId="12" xfId="0" applyNumberFormat="1" applyFont="1" applyFill="1" applyBorder="1" applyAlignment="1" applyProtection="1">
      <alignment horizontal="right" vertical="center"/>
    </xf>
    <xf numFmtId="167" fontId="0" fillId="0" borderId="0" xfId="0" applyNumberFormat="1" applyProtection="1"/>
    <xf numFmtId="0" fontId="5" fillId="0" borderId="0" xfId="0" applyFont="1" applyAlignment="1" applyProtection="1">
      <alignment horizontal="left" vertical="center"/>
    </xf>
    <xf numFmtId="166" fontId="33" fillId="0" borderId="0" xfId="0" applyNumberFormat="1" applyFont="1" applyAlignment="1" applyProtection="1">
      <alignment vertical="center"/>
    </xf>
    <xf numFmtId="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6" fontId="33" fillId="5" borderId="1" xfId="0" applyNumberFormat="1" applyFont="1" applyFill="1" applyBorder="1" applyAlignment="1" applyProtection="1">
      <alignment horizontal="center" vertical="center"/>
    </xf>
    <xf numFmtId="166" fontId="33" fillId="5" borderId="2" xfId="0" applyNumberFormat="1" applyFont="1" applyFill="1" applyBorder="1" applyAlignment="1" applyProtection="1">
      <alignment horizontal="center" vertical="center"/>
    </xf>
    <xf numFmtId="166" fontId="33" fillId="5" borderId="6" xfId="0" applyNumberFormat="1" applyFont="1" applyFill="1" applyBorder="1" applyAlignment="1" applyProtection="1">
      <alignment horizontal="center" vertical="center"/>
    </xf>
    <xf numFmtId="166" fontId="33" fillId="5" borderId="7" xfId="0" applyNumberFormat="1" applyFont="1" applyFill="1" applyBorder="1" applyAlignment="1" applyProtection="1">
      <alignment horizontal="center" vertical="center"/>
    </xf>
    <xf numFmtId="9" fontId="5" fillId="5" borderId="3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5" xfId="0" applyNumberFormat="1" applyFont="1" applyFill="1" applyBorder="1" applyAlignment="1" applyProtection="1">
      <alignment horizontal="right"/>
    </xf>
    <xf numFmtId="166" fontId="4" fillId="3" borderId="26" xfId="0" applyNumberFormat="1" applyFont="1" applyFill="1" applyBorder="1" applyAlignment="1" applyProtection="1">
      <alignment horizontal="right"/>
    </xf>
    <xf numFmtId="166" fontId="4" fillId="3" borderId="27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" fontId="16" fillId="0" borderId="28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0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0" fontId="26" fillId="0" borderId="13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4">
    <dxf>
      <fill>
        <patternFill>
          <bgColor rgb="FFFFCC66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B2B2B2"/>
      <color rgb="FFFF9900"/>
      <color rgb="FFFF7C8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8.4'!$E$101:$AC$101</c:f>
              <c:numCache>
                <c:formatCode>"€"\ #,##0</c:formatCode>
                <c:ptCount val="25"/>
                <c:pt idx="0">
                  <c:v>-37299.074814007865</c:v>
                </c:pt>
                <c:pt idx="1">
                  <c:v>-31309.445305248748</c:v>
                </c:pt>
                <c:pt idx="2">
                  <c:v>-25273.451357156366</c:v>
                </c:pt>
                <c:pt idx="3">
                  <c:v>-19188.751354749089</c:v>
                </c:pt>
                <c:pt idx="4">
                  <c:v>-13052.940225039296</c:v>
                </c:pt>
                <c:pt idx="5">
                  <c:v>-6863.5474180783749</c:v>
                </c:pt>
                <c:pt idx="6">
                  <c:v>-618.03482681236414</c:v>
                </c:pt>
                <c:pt idx="7">
                  <c:v>5686.2053561326657</c:v>
                </c:pt>
                <c:pt idx="8">
                  <c:v>12051.852846673934</c:v>
                </c:pt>
                <c:pt idx="9">
                  <c:v>18231.661544501796</c:v>
                </c:pt>
                <c:pt idx="10">
                  <c:v>24728.461877375041</c:v>
                </c:pt>
                <c:pt idx="11">
                  <c:v>30833.583216603685</c:v>
                </c:pt>
                <c:pt idx="12">
                  <c:v>36286.256365906171</c:v>
                </c:pt>
                <c:pt idx="13">
                  <c:v>41814.896125894928</c:v>
                </c:pt>
                <c:pt idx="14">
                  <c:v>47422.663936513178</c:v>
                </c:pt>
                <c:pt idx="15">
                  <c:v>53112.810599817072</c:v>
                </c:pt>
                <c:pt idx="16">
                  <c:v>58888.679085570504</c:v>
                </c:pt>
                <c:pt idx="17">
                  <c:v>64753.707422195475</c:v>
                </c:pt>
                <c:pt idx="18">
                  <c:v>70711.431675698797</c:v>
                </c:pt>
                <c:pt idx="19">
                  <c:v>76515.489019276167</c:v>
                </c:pt>
                <c:pt idx="20">
                  <c:v>81178.141809108114</c:v>
                </c:pt>
                <c:pt idx="21">
                  <c:v>85958.141417348015</c:v>
                </c:pt>
                <c:pt idx="22">
                  <c:v>90859.326895619859</c:v>
                </c:pt>
                <c:pt idx="23">
                  <c:v>95885.652732183429</c:v>
                </c:pt>
                <c:pt idx="24">
                  <c:v>101041.19240863997</c:v>
                </c:pt>
              </c:numCache>
            </c:numRef>
          </c:val>
        </c:ser>
        <c:axId val="57448704"/>
        <c:axId val="57462784"/>
      </c:barChart>
      <c:catAx>
        <c:axId val="57448704"/>
        <c:scaling>
          <c:orientation val="minMax"/>
        </c:scaling>
        <c:axPos val="b"/>
        <c:tickLblPos val="low"/>
        <c:crossAx val="57462784"/>
        <c:crosses val="autoZero"/>
        <c:auto val="1"/>
        <c:lblAlgn val="ctr"/>
        <c:lblOffset val="100"/>
      </c:catAx>
      <c:valAx>
        <c:axId val="57462784"/>
        <c:scaling>
          <c:orientation val="minMax"/>
        </c:scaling>
        <c:axPos val="l"/>
        <c:majorGridlines/>
        <c:numFmt formatCode="&quot;€&quot;\ #,##0" sourceLinked="1"/>
        <c:tickLblPos val="nextTo"/>
        <c:crossAx val="57448704"/>
        <c:crosses val="autoZero"/>
        <c:crossBetween val="between"/>
      </c:valAx>
    </c:plotArea>
    <c:plotVisOnly val="1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570450</xdr:colOff>
      <xdr:row>30</xdr:row>
      <xdr:rowOff>29085</xdr:rowOff>
    </xdr:from>
    <xdr:to>
      <xdr:col>21</xdr:col>
      <xdr:colOff>375854</xdr:colOff>
      <xdr:row>63</xdr:row>
      <xdr:rowOff>119062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aeeg-tariffe-energia-elettrica-sostariffe-0223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il-caldo-fa-male-ai-moduli-fotovoltaici-012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8"/>
  <sheetViews>
    <sheetView tabSelected="1" zoomScale="85" zoomScaleNormal="85" workbookViewId="0">
      <selection activeCell="C37" sqref="C37"/>
    </sheetView>
  </sheetViews>
  <sheetFormatPr defaultRowHeight="15"/>
  <cols>
    <col min="1" max="1" width="14.7109375" style="6" customWidth="1"/>
    <col min="2" max="2" width="20.7109375" style="6" customWidth="1"/>
    <col min="3" max="3" width="10.140625" style="6" customWidth="1"/>
    <col min="4" max="4" width="7.7109375" style="6" customWidth="1"/>
    <col min="5" max="24" width="10.7109375" style="6" customWidth="1"/>
    <col min="25" max="29" width="10" style="6" customWidth="1"/>
    <col min="30" max="16384" width="9.140625" style="6"/>
  </cols>
  <sheetData>
    <row r="1" spans="1:22" s="1" customFormat="1" ht="19.5" thickBot="1">
      <c r="A1" s="467" t="s">
        <v>282</v>
      </c>
      <c r="B1" s="468"/>
      <c r="C1" s="468"/>
      <c r="D1" s="468"/>
      <c r="E1" s="468"/>
      <c r="F1" s="468"/>
      <c r="G1" s="469"/>
    </row>
    <row r="2" spans="1:22" s="1" customFormat="1" ht="11.25" customHeight="1" thickBot="1">
      <c r="A2" s="336"/>
      <c r="B2" s="336"/>
      <c r="C2" s="336"/>
      <c r="D2" s="336"/>
      <c r="E2" s="336"/>
      <c r="F2" s="336"/>
      <c r="G2" s="336"/>
    </row>
    <row r="3" spans="1:22" ht="13.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2" ht="16.5" thickBot="1">
      <c r="A4" s="8" t="s">
        <v>129</v>
      </c>
      <c r="B4" s="9"/>
      <c r="C4" s="88">
        <v>3</v>
      </c>
      <c r="D4" s="10" t="s">
        <v>12</v>
      </c>
      <c r="E4" s="2"/>
      <c r="F4" s="2"/>
      <c r="G4" s="2"/>
      <c r="H4" s="111"/>
      <c r="I4" s="326" t="s">
        <v>62</v>
      </c>
      <c r="J4" s="326"/>
      <c r="K4" s="112"/>
      <c r="L4" s="326" t="s">
        <v>63</v>
      </c>
      <c r="M4" s="97"/>
      <c r="N4" s="327"/>
      <c r="O4" s="328"/>
      <c r="P4" s="21"/>
      <c r="Q4" s="21"/>
    </row>
    <row r="5" spans="1:22" ht="16.5" thickBot="1">
      <c r="A5" s="8" t="s">
        <v>128</v>
      </c>
      <c r="B5" s="9"/>
      <c r="C5" s="51">
        <v>3</v>
      </c>
      <c r="D5" s="10" t="s">
        <v>12</v>
      </c>
      <c r="E5" s="2"/>
      <c r="F5" s="2"/>
      <c r="G5" s="2"/>
      <c r="H5" s="12"/>
      <c r="I5" s="27"/>
      <c r="J5" s="27"/>
      <c r="K5" s="27"/>
      <c r="L5" s="27"/>
      <c r="M5" s="12"/>
      <c r="N5" s="27"/>
      <c r="O5" s="328"/>
      <c r="P5" s="21"/>
      <c r="Q5" s="21"/>
    </row>
    <row r="6" spans="1:22" ht="9.75" customHeight="1" thickBot="1">
      <c r="A6" s="329"/>
      <c r="B6" s="11"/>
      <c r="C6" s="12"/>
      <c r="D6" s="11"/>
      <c r="E6" s="2"/>
      <c r="F6" s="2"/>
      <c r="G6" s="2"/>
      <c r="H6" s="2"/>
      <c r="I6" s="2"/>
      <c r="J6" s="330"/>
      <c r="K6" s="330"/>
      <c r="L6" s="330"/>
      <c r="M6" s="2"/>
      <c r="N6" s="2"/>
      <c r="O6" s="7"/>
    </row>
    <row r="7" spans="1:22" ht="15.75" customHeight="1">
      <c r="A7" s="13"/>
      <c r="B7" s="14"/>
      <c r="C7" s="14"/>
      <c r="D7" s="14"/>
      <c r="E7" s="15"/>
      <c r="F7" s="16"/>
      <c r="G7" s="2"/>
      <c r="H7" s="70"/>
      <c r="I7" s="71"/>
      <c r="J7" s="72"/>
      <c r="K7" s="72"/>
      <c r="L7" s="73"/>
      <c r="M7" s="15"/>
      <c r="N7" s="15"/>
      <c r="O7" s="16"/>
      <c r="Q7" s="121" t="s">
        <v>164</v>
      </c>
      <c r="R7" s="15"/>
      <c r="S7" s="15"/>
      <c r="T7" s="15"/>
      <c r="U7" s="15"/>
      <c r="V7" s="16"/>
    </row>
    <row r="8" spans="1:22" ht="18.75">
      <c r="A8" s="473" t="s">
        <v>14</v>
      </c>
      <c r="B8" s="474"/>
      <c r="C8" s="474"/>
      <c r="D8" s="11"/>
      <c r="E8" s="2"/>
      <c r="F8" s="7"/>
      <c r="G8" s="2"/>
      <c r="H8" s="22" t="s">
        <v>89</v>
      </c>
      <c r="I8" s="2"/>
      <c r="J8" s="2"/>
      <c r="K8" s="2"/>
      <c r="L8" s="2"/>
      <c r="M8" s="2"/>
      <c r="N8" s="2"/>
      <c r="O8" s="7"/>
      <c r="Q8" s="122"/>
      <c r="R8" s="123"/>
      <c r="S8" s="123"/>
      <c r="T8" s="123"/>
      <c r="U8" s="123"/>
      <c r="V8" s="124"/>
    </row>
    <row r="9" spans="1:22" ht="18.75">
      <c r="A9" s="416"/>
      <c r="B9" s="11"/>
      <c r="C9" s="11"/>
      <c r="D9" s="11"/>
      <c r="E9" s="2"/>
      <c r="F9" s="7"/>
      <c r="G9" s="2"/>
      <c r="H9" s="22"/>
      <c r="I9" s="2"/>
      <c r="J9" s="2"/>
      <c r="K9" s="2"/>
      <c r="L9" s="2"/>
      <c r="M9" s="2"/>
      <c r="N9" s="2"/>
      <c r="O9" s="7"/>
      <c r="Q9" s="498" t="s">
        <v>165</v>
      </c>
      <c r="R9" s="499"/>
      <c r="S9" s="499"/>
      <c r="T9" s="499"/>
      <c r="U9" s="499"/>
      <c r="V9" s="124"/>
    </row>
    <row r="10" spans="1:22" ht="18.75">
      <c r="A10" s="473" t="s">
        <v>13</v>
      </c>
      <c r="B10" s="474"/>
      <c r="C10" s="474"/>
      <c r="D10" s="11"/>
      <c r="E10" s="2"/>
      <c r="F10" s="7"/>
      <c r="G10" s="2"/>
      <c r="H10" s="22" t="s">
        <v>83</v>
      </c>
      <c r="I10" s="2"/>
      <c r="J10" s="2"/>
      <c r="K10" s="91">
        <v>9</v>
      </c>
      <c r="L10" s="2" t="s">
        <v>59</v>
      </c>
      <c r="M10" s="2"/>
      <c r="N10" s="12"/>
      <c r="O10" s="7"/>
      <c r="Q10" s="498" t="s">
        <v>166</v>
      </c>
      <c r="R10" s="499"/>
      <c r="S10" s="499"/>
      <c r="T10" s="499"/>
      <c r="U10" s="499"/>
      <c r="V10" s="124"/>
    </row>
    <row r="11" spans="1:22" ht="18.75">
      <c r="A11" s="416"/>
      <c r="B11" s="11"/>
      <c r="C11" s="11"/>
      <c r="D11" s="11"/>
      <c r="E11" s="2"/>
      <c r="F11" s="7"/>
      <c r="G11" s="2"/>
      <c r="H11" s="22"/>
      <c r="I11" s="2"/>
      <c r="J11" s="2"/>
      <c r="K11" s="76"/>
      <c r="L11" s="2"/>
      <c r="M11" s="2"/>
      <c r="N11" s="2"/>
      <c r="O11" s="7"/>
      <c r="Q11" s="498" t="s">
        <v>167</v>
      </c>
      <c r="R11" s="499"/>
      <c r="S11" s="499"/>
      <c r="T11" s="499"/>
      <c r="U11" s="499"/>
      <c r="V11" s="500"/>
    </row>
    <row r="12" spans="1:22" ht="18.75">
      <c r="A12" s="416" t="s">
        <v>116</v>
      </c>
      <c r="B12" s="11"/>
      <c r="C12" s="11"/>
      <c r="D12" s="11"/>
      <c r="E12" s="2"/>
      <c r="F12" s="7"/>
      <c r="G12" s="2"/>
      <c r="H12" s="22"/>
      <c r="I12" s="2"/>
      <c r="J12" s="2"/>
      <c r="K12" s="76"/>
      <c r="L12" s="2"/>
      <c r="M12" s="2"/>
      <c r="N12" s="2"/>
      <c r="O12" s="7"/>
      <c r="Q12" s="498" t="s">
        <v>168</v>
      </c>
      <c r="R12" s="499"/>
      <c r="S12" s="499"/>
      <c r="T12" s="499"/>
      <c r="U12" s="499"/>
      <c r="V12" s="500"/>
    </row>
    <row r="13" spans="1:22" ht="18.75">
      <c r="A13" s="473"/>
      <c r="B13" s="474"/>
      <c r="C13" s="474"/>
      <c r="D13" s="11"/>
      <c r="E13" s="2"/>
      <c r="F13" s="7"/>
      <c r="G13" s="2"/>
      <c r="H13" s="22" t="s">
        <v>93</v>
      </c>
      <c r="I13" s="2"/>
      <c r="J13" s="2"/>
      <c r="K13" s="92"/>
      <c r="L13" s="82">
        <v>23</v>
      </c>
      <c r="M13" s="2" t="s">
        <v>59</v>
      </c>
      <c r="N13" s="2"/>
      <c r="O13" s="7"/>
      <c r="Q13" s="498" t="s">
        <v>170</v>
      </c>
      <c r="R13" s="499"/>
      <c r="S13" s="499"/>
      <c r="T13" s="499"/>
      <c r="U13" s="499"/>
      <c r="V13" s="500"/>
    </row>
    <row r="14" spans="1:22" ht="18.75">
      <c r="A14" s="22"/>
      <c r="B14" s="2"/>
      <c r="C14" s="2"/>
      <c r="D14" s="2"/>
      <c r="E14" s="2"/>
      <c r="F14" s="7"/>
      <c r="G14" s="2"/>
      <c r="H14" s="22" t="s">
        <v>94</v>
      </c>
      <c r="I14" s="2"/>
      <c r="J14" s="2"/>
      <c r="K14" s="92"/>
      <c r="L14" s="82">
        <v>27</v>
      </c>
      <c r="M14" s="2" t="s">
        <v>59</v>
      </c>
      <c r="N14" s="2"/>
      <c r="O14" s="7"/>
      <c r="Q14" s="498" t="s">
        <v>169</v>
      </c>
      <c r="R14" s="499"/>
      <c r="S14" s="499"/>
      <c r="T14" s="499"/>
      <c r="U14" s="499"/>
      <c r="V14" s="500"/>
    </row>
    <row r="15" spans="1:22" ht="19.5" thickBot="1">
      <c r="A15" s="473" t="s">
        <v>74</v>
      </c>
      <c r="B15" s="474"/>
      <c r="C15" s="474"/>
      <c r="D15" s="11"/>
      <c r="E15" s="2"/>
      <c r="F15" s="7"/>
      <c r="G15" s="2"/>
      <c r="H15" s="22" t="s">
        <v>95</v>
      </c>
      <c r="I15" s="2"/>
      <c r="J15" s="2"/>
      <c r="K15" s="92"/>
      <c r="L15" s="82">
        <v>38</v>
      </c>
      <c r="M15" s="2" t="s">
        <v>59</v>
      </c>
      <c r="N15" s="2"/>
      <c r="O15" s="7"/>
      <c r="Q15" s="501"/>
      <c r="R15" s="502"/>
      <c r="S15" s="502"/>
      <c r="T15" s="502"/>
      <c r="U15" s="502"/>
      <c r="V15" s="503"/>
    </row>
    <row r="16" spans="1:22" ht="18.75">
      <c r="A16" s="22"/>
      <c r="B16" s="2"/>
      <c r="C16" s="2"/>
      <c r="D16" s="2"/>
      <c r="E16" s="2"/>
      <c r="F16" s="7"/>
      <c r="G16" s="2"/>
      <c r="H16" s="22" t="s">
        <v>96</v>
      </c>
      <c r="I16" s="2"/>
      <c r="J16" s="2"/>
      <c r="K16" s="92"/>
      <c r="L16" s="82">
        <v>41</v>
      </c>
      <c r="M16" s="2" t="s">
        <v>59</v>
      </c>
      <c r="N16" s="2"/>
      <c r="O16" s="7"/>
      <c r="Q16" s="504"/>
      <c r="R16" s="504"/>
      <c r="S16" s="504"/>
      <c r="T16" s="504"/>
      <c r="U16" s="504"/>
      <c r="V16" s="504"/>
    </row>
    <row r="17" spans="1:22" ht="18.75">
      <c r="A17" s="24"/>
      <c r="B17" s="25"/>
      <c r="C17" s="25"/>
      <c r="D17" s="2"/>
      <c r="E17" s="2"/>
      <c r="F17" s="7"/>
      <c r="G17" s="2"/>
      <c r="H17" s="22" t="s">
        <v>97</v>
      </c>
      <c r="I17" s="2"/>
      <c r="J17" s="2"/>
      <c r="K17" s="92"/>
      <c r="L17" s="82">
        <v>43</v>
      </c>
      <c r="M17" s="2" t="s">
        <v>59</v>
      </c>
      <c r="N17" s="2"/>
      <c r="O17" s="7"/>
      <c r="Q17" s="504"/>
      <c r="R17" s="504"/>
      <c r="S17" s="504"/>
      <c r="T17" s="504"/>
      <c r="U17" s="504"/>
      <c r="V17" s="504"/>
    </row>
    <row r="18" spans="1:22" ht="18.75">
      <c r="A18" s="473" t="s">
        <v>18</v>
      </c>
      <c r="B18" s="474"/>
      <c r="C18" s="474"/>
      <c r="D18" s="2"/>
      <c r="E18" s="2"/>
      <c r="F18" s="7"/>
      <c r="G18" s="2"/>
      <c r="H18" s="22"/>
      <c r="I18" s="2"/>
      <c r="J18" s="2"/>
      <c r="K18" s="2"/>
      <c r="L18" s="2"/>
      <c r="M18" s="2"/>
      <c r="N18" s="2"/>
      <c r="O18" s="7"/>
      <c r="Q18" s="120"/>
    </row>
    <row r="19" spans="1:22" ht="18.75">
      <c r="A19" s="22"/>
      <c r="B19" s="2"/>
      <c r="C19" s="2"/>
      <c r="D19" s="2"/>
      <c r="E19" s="2"/>
      <c r="F19" s="7"/>
      <c r="G19" s="2"/>
      <c r="H19" s="75" t="s">
        <v>90</v>
      </c>
      <c r="I19" s="2"/>
      <c r="J19" s="2"/>
      <c r="K19" s="82">
        <v>3.9</v>
      </c>
      <c r="L19" s="2" t="s">
        <v>59</v>
      </c>
      <c r="M19" s="2"/>
      <c r="N19" s="2"/>
      <c r="O19" s="7"/>
      <c r="Q19" s="120"/>
    </row>
    <row r="20" spans="1:22" ht="15.75" customHeight="1">
      <c r="A20" s="22"/>
      <c r="B20" s="2"/>
      <c r="C20" s="2"/>
      <c r="D20" s="2"/>
      <c r="E20" s="2"/>
      <c r="F20" s="7"/>
      <c r="G20" s="2"/>
      <c r="H20" s="22"/>
      <c r="I20" s="2"/>
      <c r="J20" s="2"/>
      <c r="K20" s="2"/>
      <c r="L20" s="2"/>
      <c r="M20" s="2"/>
      <c r="N20" s="2"/>
      <c r="O20" s="7"/>
      <c r="Q20" s="120"/>
    </row>
    <row r="21" spans="1:22" ht="17.25" customHeight="1">
      <c r="A21" s="22"/>
      <c r="B21" s="2"/>
      <c r="C21" s="2"/>
      <c r="D21" s="2"/>
      <c r="E21" s="2"/>
      <c r="F21" s="7"/>
      <c r="G21" s="2"/>
      <c r="H21" s="75" t="s">
        <v>110</v>
      </c>
      <c r="I21" s="2"/>
      <c r="J21" s="2"/>
      <c r="K21" s="82">
        <v>27.5</v>
      </c>
      <c r="L21" s="2" t="s">
        <v>59</v>
      </c>
      <c r="M21" s="2"/>
      <c r="N21" s="2"/>
      <c r="O21" s="7"/>
      <c r="Q21" s="120"/>
    </row>
    <row r="22" spans="1:22" ht="8.25" customHeight="1" thickBot="1">
      <c r="A22" s="29"/>
      <c r="B22" s="19"/>
      <c r="C22" s="19"/>
      <c r="D22" s="19"/>
      <c r="E22" s="19"/>
      <c r="F22" s="20"/>
      <c r="G22" s="2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/>
    </row>
    <row r="24" spans="1:22" ht="15.75" thickBot="1">
      <c r="A24" s="22"/>
      <c r="B24" s="2"/>
      <c r="C24" s="2"/>
      <c r="D24" s="86" t="s">
        <v>22</v>
      </c>
      <c r="E24" s="333" t="s">
        <v>21</v>
      </c>
      <c r="F24" s="417" t="s">
        <v>23</v>
      </c>
      <c r="G24" s="2"/>
      <c r="H24" s="475" t="s">
        <v>266</v>
      </c>
      <c r="I24" s="476"/>
      <c r="J24" s="476"/>
      <c r="K24" s="476"/>
      <c r="L24" s="476"/>
      <c r="M24" s="476"/>
      <c r="N24" s="476"/>
      <c r="O24" s="477"/>
    </row>
    <row r="25" spans="1:22">
      <c r="A25" s="335" t="s">
        <v>19</v>
      </c>
      <c r="B25" s="15"/>
      <c r="C25" s="16"/>
      <c r="D25" s="420">
        <f>IF(Calcoli!D1&lt;6,(E25+F25)-((E25+F25)/100*Calcoli!$U$6),0)</f>
        <v>228</v>
      </c>
      <c r="E25" s="87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26">
        <f>IF(Calcoli!$H$9&lt;3,Calcoli!$R$27,Calcoli!T27)</f>
        <v>20</v>
      </c>
      <c r="G25" s="2"/>
      <c r="H25" s="478"/>
      <c r="I25" s="479"/>
      <c r="J25" s="479"/>
      <c r="K25" s="479"/>
      <c r="L25" s="479"/>
      <c r="M25" s="479"/>
      <c r="N25" s="479"/>
      <c r="O25" s="480"/>
    </row>
    <row r="26" spans="1:22" ht="15.75" thickBot="1">
      <c r="A26" s="331" t="s">
        <v>20</v>
      </c>
      <c r="B26" s="19"/>
      <c r="C26" s="20"/>
      <c r="D26" s="420">
        <f>IF(Calcoli!D1&lt;6,(E26+F26)-((E26+F26)/100*Calcoli!$U$6),0)</f>
        <v>146</v>
      </c>
      <c r="E26" s="334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32">
        <f>IF(Calcoli!$H$9&lt;3,Calcoli!$R$27,Calcoli!T27)</f>
        <v>20</v>
      </c>
      <c r="G26" s="2"/>
      <c r="H26" s="2"/>
      <c r="I26" s="2"/>
      <c r="J26" s="2"/>
      <c r="K26" s="2"/>
      <c r="L26" s="2"/>
      <c r="M26" s="2"/>
      <c r="N26" s="2"/>
      <c r="O26" s="7"/>
    </row>
    <row r="27" spans="1:22" ht="15.75" thickBot="1">
      <c r="A27" s="337"/>
      <c r="B27" s="2"/>
      <c r="C27" s="2"/>
      <c r="D27" s="35"/>
      <c r="E27" s="419"/>
      <c r="F27" s="419"/>
      <c r="G27" s="2"/>
      <c r="H27" s="2"/>
      <c r="I27" s="2"/>
      <c r="J27" s="2"/>
      <c r="K27" s="2"/>
      <c r="L27" s="2"/>
      <c r="M27" s="2"/>
      <c r="N27" s="2"/>
      <c r="O27" s="7"/>
    </row>
    <row r="28" spans="1:22" ht="30" customHeight="1" thickBot="1">
      <c r="A28" s="425" t="s">
        <v>275</v>
      </c>
      <c r="B28" s="427"/>
      <c r="C28" s="421"/>
      <c r="D28" s="427"/>
      <c r="E28" s="427"/>
      <c r="F28" s="426"/>
      <c r="G28" s="2"/>
      <c r="H28" s="2"/>
      <c r="I28" s="2"/>
      <c r="J28" s="2"/>
      <c r="K28" s="2"/>
      <c r="L28" s="2"/>
      <c r="M28" s="2"/>
      <c r="N28" s="2"/>
      <c r="O28" s="7"/>
    </row>
    <row r="29" spans="1:22" ht="12.75" customHeight="1" thickBot="1">
      <c r="A29" s="331"/>
      <c r="B29" s="19"/>
      <c r="C29" s="19"/>
      <c r="D29" s="332"/>
      <c r="E29" s="31"/>
      <c r="F29" s="31"/>
      <c r="G29" s="19"/>
      <c r="H29" s="19"/>
      <c r="I29" s="19"/>
      <c r="J29" s="19"/>
      <c r="K29" s="19"/>
      <c r="L29" s="19"/>
      <c r="M29" s="19"/>
      <c r="N29" s="19"/>
      <c r="O29" s="20"/>
    </row>
    <row r="30" spans="1:22" ht="10.5" customHeight="1" thickBot="1">
      <c r="A30" s="34"/>
      <c r="B30" s="2"/>
      <c r="C30" s="2"/>
      <c r="D30" s="35"/>
      <c r="E30" s="324"/>
      <c r="F30" s="324"/>
      <c r="S30" s="74"/>
    </row>
    <row r="31" spans="1:22" ht="9.75" customHeight="1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6"/>
      <c r="S31" s="74"/>
    </row>
    <row r="32" spans="1:22" ht="15.75" customHeight="1">
      <c r="A32" s="337" t="s">
        <v>255</v>
      </c>
      <c r="B32" s="2"/>
      <c r="C32" s="2"/>
      <c r="D32" s="2"/>
      <c r="E32" s="2"/>
      <c r="F32" s="2"/>
      <c r="G32" s="2"/>
      <c r="H32" s="2"/>
      <c r="I32" s="2"/>
      <c r="J32" s="2"/>
      <c r="K32" s="7"/>
      <c r="S32" s="74"/>
    </row>
    <row r="33" spans="1:19" ht="6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7"/>
      <c r="S33" s="74"/>
    </row>
    <row r="34" spans="1:19" s="37" customFormat="1" ht="22.5" customHeight="1">
      <c r="A34" s="338" t="s">
        <v>34</v>
      </c>
      <c r="B34" s="93"/>
      <c r="C34" s="79">
        <v>1200</v>
      </c>
      <c r="D34" s="36" t="s">
        <v>61</v>
      </c>
      <c r="E34" s="58"/>
      <c r="F34" s="497" t="s">
        <v>25</v>
      </c>
      <c r="G34" s="497"/>
      <c r="H34" s="497"/>
      <c r="I34" s="497"/>
      <c r="J34" s="497"/>
      <c r="K34" s="339"/>
    </row>
    <row r="35" spans="1:19" s="41" customFormat="1" ht="15.75">
      <c r="A35" s="329" t="s">
        <v>26</v>
      </c>
      <c r="B35" s="11"/>
      <c r="C35" s="80">
        <f>$C$4*C34</f>
        <v>3600</v>
      </c>
      <c r="D35" s="321" t="s">
        <v>24</v>
      </c>
      <c r="E35" s="11"/>
      <c r="F35" s="11"/>
      <c r="G35" s="11"/>
      <c r="H35" s="11"/>
      <c r="I35" s="11"/>
      <c r="J35" s="11"/>
      <c r="K35" s="187"/>
    </row>
    <row r="36" spans="1:19" s="41" customFormat="1" ht="15.75">
      <c r="A36" s="329" t="s">
        <v>27</v>
      </c>
      <c r="B36" s="11"/>
      <c r="C36" s="79">
        <v>2500</v>
      </c>
      <c r="D36" s="321" t="s">
        <v>24</v>
      </c>
      <c r="E36" s="67" t="s">
        <v>76</v>
      </c>
      <c r="F36" s="67"/>
      <c r="G36" s="67"/>
      <c r="H36" s="67"/>
      <c r="I36" s="321"/>
      <c r="J36" s="11"/>
      <c r="K36" s="187"/>
    </row>
    <row r="37" spans="1:19" s="41" customFormat="1" ht="16.5" thickBot="1">
      <c r="A37" s="329"/>
      <c r="B37" s="11"/>
      <c r="C37" s="94"/>
      <c r="D37" s="323"/>
      <c r="E37" s="323"/>
      <c r="F37" s="323"/>
      <c r="G37" s="323"/>
      <c r="H37" s="323"/>
      <c r="I37" s="323"/>
      <c r="J37" s="11"/>
      <c r="K37" s="187"/>
    </row>
    <row r="38" spans="1:19" s="41" customFormat="1" ht="15.75">
      <c r="A38" s="186" t="s">
        <v>276</v>
      </c>
      <c r="B38" s="45"/>
      <c r="C38" s="319">
        <f>Autoconsumo!C119</f>
        <v>1242.8209769312484</v>
      </c>
      <c r="D38" s="321" t="s">
        <v>24</v>
      </c>
      <c r="E38" s="45"/>
      <c r="F38" s="491" t="s">
        <v>278</v>
      </c>
      <c r="G38" s="492"/>
      <c r="H38" s="492"/>
      <c r="I38" s="492"/>
      <c r="J38" s="493"/>
      <c r="K38" s="187"/>
    </row>
    <row r="39" spans="1:19" s="41" customFormat="1" ht="32.25" customHeight="1" thickBot="1">
      <c r="A39" s="338" t="s">
        <v>277</v>
      </c>
      <c r="B39" s="45"/>
      <c r="C39" s="440"/>
      <c r="D39" s="36" t="s">
        <v>59</v>
      </c>
      <c r="E39" s="45"/>
      <c r="F39" s="494"/>
      <c r="G39" s="495"/>
      <c r="H39" s="495"/>
      <c r="I39" s="495"/>
      <c r="J39" s="496"/>
      <c r="K39" s="187"/>
    </row>
    <row r="40" spans="1:19" s="41" customFormat="1" ht="16.5" thickBot="1">
      <c r="A40" s="186" t="s">
        <v>29</v>
      </c>
      <c r="B40" s="45"/>
      <c r="C40" s="319">
        <f>Autoconsumo!D119</f>
        <v>2357.1790230687516</v>
      </c>
      <c r="D40" s="321" t="s">
        <v>24</v>
      </c>
      <c r="E40" s="45"/>
      <c r="F40" s="45"/>
      <c r="G40" s="45"/>
      <c r="H40" s="45"/>
      <c r="I40" s="45"/>
      <c r="J40" s="45"/>
      <c r="K40" s="187"/>
    </row>
    <row r="41" spans="1:19" s="41" customFormat="1" ht="15.75">
      <c r="A41" s="186" t="s">
        <v>30</v>
      </c>
      <c r="B41" s="11"/>
      <c r="C41" s="319">
        <f>Autoconsumo!E119</f>
        <v>1257.1790230687516</v>
      </c>
      <c r="D41" s="321" t="s">
        <v>24</v>
      </c>
      <c r="E41" s="11"/>
      <c r="F41" s="102" t="s">
        <v>109</v>
      </c>
      <c r="G41" s="103"/>
      <c r="H41" s="104"/>
      <c r="I41" s="485">
        <f>C4*C43</f>
        <v>6300</v>
      </c>
      <c r="J41" s="486"/>
      <c r="K41" s="187"/>
    </row>
    <row r="42" spans="1:19" s="41" customFormat="1" ht="16.5" thickBot="1">
      <c r="A42" s="186"/>
      <c r="B42" s="11"/>
      <c r="C42" s="76"/>
      <c r="D42" s="321"/>
      <c r="E42" s="11"/>
      <c r="F42" s="105" t="s">
        <v>133</v>
      </c>
      <c r="G42" s="59"/>
      <c r="H42" s="100"/>
      <c r="I42" s="481">
        <f>C56+C57</f>
        <v>250</v>
      </c>
      <c r="J42" s="482"/>
      <c r="K42" s="187"/>
    </row>
    <row r="43" spans="1:19" s="41" customFormat="1" ht="16.5" thickBot="1">
      <c r="A43" s="186" t="s">
        <v>31</v>
      </c>
      <c r="B43" s="11"/>
      <c r="C43" s="90">
        <v>2100</v>
      </c>
      <c r="D43" s="321" t="s">
        <v>32</v>
      </c>
      <c r="E43" s="101"/>
      <c r="F43" s="108"/>
      <c r="G43" s="106" t="s">
        <v>22</v>
      </c>
      <c r="H43" s="107"/>
      <c r="I43" s="483">
        <f>I41+I42</f>
        <v>6550</v>
      </c>
      <c r="J43" s="484"/>
      <c r="K43" s="187"/>
    </row>
    <row r="44" spans="1:19" s="41" customFormat="1" ht="7.5" customHeight="1">
      <c r="A44" s="186"/>
      <c r="B44" s="11"/>
      <c r="C44" s="127"/>
      <c r="D44" s="321"/>
      <c r="E44" s="101"/>
      <c r="F44" s="81"/>
      <c r="G44" s="101"/>
      <c r="H44" s="81"/>
      <c r="I44" s="129"/>
      <c r="J44" s="129"/>
      <c r="K44" s="187"/>
    </row>
    <row r="45" spans="1:19" s="41" customFormat="1" ht="15.75">
      <c r="A45" s="186" t="s">
        <v>182</v>
      </c>
      <c r="B45" s="11"/>
      <c r="C45" s="127"/>
      <c r="D45" s="128"/>
      <c r="E45" s="101"/>
      <c r="F45" s="81"/>
      <c r="G45" s="101"/>
      <c r="H45" s="81"/>
      <c r="I45" s="129"/>
      <c r="J45" s="129"/>
      <c r="K45" s="187"/>
    </row>
    <row r="46" spans="1:19" s="41" customFormat="1" ht="16.5" thickBot="1">
      <c r="A46" s="186"/>
      <c r="B46" s="11"/>
      <c r="C46" s="127"/>
      <c r="D46" s="128"/>
      <c r="E46" s="101"/>
      <c r="F46" s="81"/>
      <c r="G46" s="101"/>
      <c r="H46" s="81"/>
      <c r="I46" s="129"/>
      <c r="J46" s="129"/>
      <c r="K46" s="187"/>
    </row>
    <row r="47" spans="1:19" s="41" customFormat="1" ht="24.75" customHeight="1" thickBot="1">
      <c r="A47" s="441" t="s">
        <v>183</v>
      </c>
      <c r="B47" s="185"/>
      <c r="C47" s="452">
        <f>Calcoli!Z40</f>
        <v>6550</v>
      </c>
      <c r="D47" s="36" t="s">
        <v>32</v>
      </c>
      <c r="E47" s="101"/>
      <c r="F47" s="132" t="s">
        <v>265</v>
      </c>
      <c r="G47" s="131"/>
      <c r="H47" s="131"/>
      <c r="I47" s="465">
        <f>Finanziamento!J6</f>
        <v>6203.7225545781439</v>
      </c>
      <c r="J47" s="466"/>
      <c r="K47" s="187"/>
    </row>
    <row r="48" spans="1:19" s="41" customFormat="1" ht="16.5" thickBot="1">
      <c r="A48" s="186" t="s">
        <v>184</v>
      </c>
      <c r="B48" s="187"/>
      <c r="C48" s="90">
        <v>10</v>
      </c>
      <c r="D48" s="321" t="s">
        <v>159</v>
      </c>
      <c r="E48" s="101"/>
      <c r="F48" s="132" t="s">
        <v>187</v>
      </c>
      <c r="G48" s="131"/>
      <c r="H48" s="131"/>
      <c r="I48" s="465">
        <f>Finanziamento!E11</f>
        <v>2986.3489163311078</v>
      </c>
      <c r="J48" s="466"/>
      <c r="K48" s="187"/>
    </row>
    <row r="49" spans="1:11" s="41" customFormat="1" ht="16.5" thickBot="1">
      <c r="A49" s="188" t="s">
        <v>185</v>
      </c>
      <c r="B49" s="189"/>
      <c r="C49" s="130">
        <v>8</v>
      </c>
      <c r="D49" s="321" t="s">
        <v>59</v>
      </c>
      <c r="E49" s="101"/>
      <c r="F49" s="487" t="s">
        <v>216</v>
      </c>
      <c r="G49" s="488"/>
      <c r="H49" s="488"/>
      <c r="I49" s="488"/>
      <c r="J49" s="489"/>
      <c r="K49" s="187"/>
    </row>
    <row r="50" spans="1:11" s="41" customFormat="1" ht="16.5" thickBot="1">
      <c r="A50" s="186"/>
      <c r="B50" s="11"/>
      <c r="C50" s="127"/>
      <c r="D50" s="128"/>
      <c r="E50" s="101"/>
      <c r="F50" s="81"/>
      <c r="G50" s="101"/>
      <c r="H50" s="81"/>
      <c r="I50" s="129"/>
      <c r="J50" s="129"/>
      <c r="K50" s="187"/>
    </row>
    <row r="51" spans="1:11" s="41" customFormat="1" ht="15.75">
      <c r="A51" s="184" t="s">
        <v>207</v>
      </c>
      <c r="B51" s="185"/>
      <c r="C51" s="194">
        <v>250</v>
      </c>
      <c r="D51" s="321" t="s">
        <v>32</v>
      </c>
      <c r="E51" s="101" t="s">
        <v>210</v>
      </c>
      <c r="F51" s="81"/>
      <c r="G51" s="101"/>
      <c r="H51" s="81"/>
      <c r="I51" s="129"/>
      <c r="J51" s="129"/>
      <c r="K51" s="187"/>
    </row>
    <row r="52" spans="1:11" s="41" customFormat="1" ht="16.5" thickBot="1">
      <c r="A52" s="186" t="s">
        <v>209</v>
      </c>
      <c r="B52" s="187"/>
      <c r="C52" s="195">
        <v>25</v>
      </c>
      <c r="D52" s="321" t="s">
        <v>32</v>
      </c>
      <c r="E52" s="101"/>
      <c r="F52" s="81"/>
      <c r="G52" s="322"/>
      <c r="H52" s="472"/>
      <c r="I52" s="472"/>
      <c r="J52" s="322"/>
      <c r="K52" s="187"/>
    </row>
    <row r="53" spans="1:11" s="41" customFormat="1" ht="15.75">
      <c r="A53" s="186" t="s">
        <v>81</v>
      </c>
      <c r="B53" s="187"/>
      <c r="C53" s="196">
        <v>2.5</v>
      </c>
      <c r="D53" s="321" t="s">
        <v>59</v>
      </c>
      <c r="E53" s="81"/>
      <c r="F53" s="102" t="s">
        <v>146</v>
      </c>
      <c r="G53" s="109"/>
      <c r="H53" s="109"/>
      <c r="I53" s="485">
        <f>X101</f>
        <v>11503.919755764993</v>
      </c>
      <c r="J53" s="490"/>
      <c r="K53" s="187"/>
    </row>
    <row r="54" spans="1:11" s="41" customFormat="1" ht="16.5" thickBot="1">
      <c r="A54" s="186" t="s">
        <v>77</v>
      </c>
      <c r="B54" s="187"/>
      <c r="C54" s="197">
        <f>IF(C4&lt;20,C4*3,60+((C4-20)*2))</f>
        <v>9</v>
      </c>
      <c r="D54" s="321" t="s">
        <v>32</v>
      </c>
      <c r="E54" s="11"/>
      <c r="F54" s="110" t="s">
        <v>147</v>
      </c>
      <c r="G54" s="106"/>
      <c r="H54" s="106"/>
      <c r="I54" s="470">
        <f>AC101</f>
        <v>15165.022387528465</v>
      </c>
      <c r="J54" s="471"/>
      <c r="K54" s="187"/>
    </row>
    <row r="55" spans="1:11" s="41" customFormat="1" ht="15.75">
      <c r="A55" s="186" t="s">
        <v>78</v>
      </c>
      <c r="B55" s="187"/>
      <c r="C55" s="198">
        <f>0.0005*C35</f>
        <v>1.8</v>
      </c>
      <c r="D55" s="321" t="s">
        <v>32</v>
      </c>
      <c r="E55" s="81"/>
      <c r="F55" s="81"/>
      <c r="G55" s="81"/>
      <c r="H55" s="81"/>
      <c r="I55" s="81"/>
      <c r="J55" s="11"/>
      <c r="K55" s="187"/>
    </row>
    <row r="56" spans="1:11" s="41" customFormat="1" ht="15.75">
      <c r="A56" s="186" t="s">
        <v>131</v>
      </c>
      <c r="B56" s="187"/>
      <c r="C56" s="197">
        <f>IF(Calcoli!O77&lt;0,Calcoli!P77,(C4-C5)*45+Calcoli!P77)</f>
        <v>200</v>
      </c>
      <c r="D56" s="321" t="s">
        <v>32</v>
      </c>
      <c r="E56" s="45"/>
      <c r="F56" s="11"/>
      <c r="G56" s="11"/>
      <c r="H56" s="11"/>
      <c r="I56" s="11"/>
      <c r="J56" s="11"/>
      <c r="K56" s="187"/>
    </row>
    <row r="57" spans="1:11" s="41" customFormat="1" ht="15.75">
      <c r="A57" s="186" t="s">
        <v>132</v>
      </c>
      <c r="B57" s="187"/>
      <c r="C57" s="195">
        <v>50</v>
      </c>
      <c r="D57" s="321" t="s">
        <v>32</v>
      </c>
      <c r="E57" s="464" t="s">
        <v>153</v>
      </c>
      <c r="F57" s="464"/>
      <c r="G57" s="464"/>
      <c r="H57" s="464"/>
      <c r="I57" s="464"/>
      <c r="J57" s="464"/>
      <c r="K57" s="187"/>
    </row>
    <row r="58" spans="1:11" s="41" customFormat="1" ht="15.75">
      <c r="A58" s="190" t="s">
        <v>158</v>
      </c>
      <c r="B58" s="191"/>
      <c r="C58" s="409">
        <v>25</v>
      </c>
      <c r="D58" s="321" t="s">
        <v>32</v>
      </c>
      <c r="E58" s="11"/>
      <c r="F58" s="11"/>
      <c r="G58" s="11"/>
      <c r="H58" s="11"/>
      <c r="I58" s="11"/>
      <c r="J58" s="11"/>
      <c r="K58" s="187"/>
    </row>
    <row r="59" spans="1:11" s="41" customFormat="1" ht="15.75">
      <c r="A59" s="192" t="s">
        <v>157</v>
      </c>
      <c r="B59" s="193"/>
      <c r="C59" s="410">
        <v>25</v>
      </c>
      <c r="D59" s="321" t="s">
        <v>159</v>
      </c>
      <c r="E59" s="11"/>
      <c r="F59" s="11"/>
      <c r="G59" s="11"/>
      <c r="H59" s="11"/>
      <c r="I59" s="11"/>
      <c r="J59" s="11"/>
      <c r="K59" s="187"/>
    </row>
    <row r="60" spans="1:11" s="41" customFormat="1" ht="15.75">
      <c r="A60" s="186" t="s">
        <v>33</v>
      </c>
      <c r="B60" s="187"/>
      <c r="C60" s="199">
        <v>0.19</v>
      </c>
      <c r="D60" s="321" t="s">
        <v>32</v>
      </c>
      <c r="E60" s="11"/>
      <c r="F60" s="11"/>
      <c r="G60" s="11"/>
      <c r="H60" s="11"/>
      <c r="I60" s="11"/>
      <c r="J60" s="11"/>
      <c r="K60" s="187"/>
    </row>
    <row r="61" spans="1:11" s="41" customFormat="1" ht="15.75">
      <c r="A61" s="186" t="s">
        <v>175</v>
      </c>
      <c r="B61" s="187"/>
      <c r="C61" s="199">
        <v>0.16</v>
      </c>
      <c r="D61" s="321" t="s">
        <v>32</v>
      </c>
      <c r="E61" s="45"/>
      <c r="F61" s="11"/>
      <c r="G61" s="11"/>
      <c r="H61" s="11"/>
      <c r="I61" s="11"/>
      <c r="J61" s="11"/>
      <c r="K61" s="187"/>
    </row>
    <row r="62" spans="1:11" s="41" customFormat="1" ht="15.75">
      <c r="A62" s="186" t="s">
        <v>148</v>
      </c>
      <c r="B62" s="187"/>
      <c r="C62" s="199">
        <v>0.1</v>
      </c>
      <c r="D62" s="321" t="s">
        <v>32</v>
      </c>
      <c r="E62" s="45" t="s">
        <v>176</v>
      </c>
      <c r="F62" s="11"/>
      <c r="G62" s="11"/>
      <c r="H62" s="11"/>
      <c r="I62" s="11"/>
      <c r="J62" s="11"/>
      <c r="K62" s="187"/>
    </row>
    <row r="63" spans="1:11" s="41" customFormat="1" ht="15.75">
      <c r="A63" s="186" t="s">
        <v>80</v>
      </c>
      <c r="B63" s="187"/>
      <c r="C63" s="196">
        <v>0.9</v>
      </c>
      <c r="D63" s="321" t="s">
        <v>59</v>
      </c>
      <c r="E63" s="45" t="s">
        <v>108</v>
      </c>
      <c r="F63" s="11"/>
      <c r="G63" s="11"/>
      <c r="H63" s="11"/>
      <c r="I63" s="11"/>
      <c r="J63" s="11"/>
      <c r="K63" s="187"/>
    </row>
    <row r="64" spans="1:11" s="41" customFormat="1" ht="16.5" thickBot="1">
      <c r="A64" s="188" t="s">
        <v>60</v>
      </c>
      <c r="B64" s="189"/>
      <c r="C64" s="200">
        <v>4</v>
      </c>
      <c r="D64" s="321" t="s">
        <v>59</v>
      </c>
      <c r="E64" s="45" t="s">
        <v>180</v>
      </c>
      <c r="F64" s="11"/>
      <c r="G64" s="11"/>
      <c r="H64" s="11"/>
      <c r="I64" s="11"/>
      <c r="J64" s="11"/>
      <c r="K64" s="187"/>
    </row>
    <row r="65" spans="1:29" s="41" customFormat="1" ht="9" customHeight="1" thickBot="1">
      <c r="A65" s="188"/>
      <c r="B65" s="340"/>
      <c r="C65" s="341"/>
      <c r="D65" s="342"/>
      <c r="E65" s="343"/>
      <c r="F65" s="340"/>
      <c r="G65" s="340"/>
      <c r="H65" s="340"/>
      <c r="I65" s="340"/>
      <c r="J65" s="340"/>
      <c r="K65" s="189"/>
    </row>
    <row r="67" spans="1:29">
      <c r="A67" s="50"/>
      <c r="B67" s="50"/>
      <c r="C67" s="50"/>
      <c r="D67" s="50"/>
      <c r="E67" s="325" t="s">
        <v>38</v>
      </c>
      <c r="F67" s="325" t="s">
        <v>40</v>
      </c>
      <c r="G67" s="325" t="s">
        <v>41</v>
      </c>
      <c r="H67" s="325" t="s">
        <v>42</v>
      </c>
      <c r="I67" s="325" t="s">
        <v>43</v>
      </c>
      <c r="J67" s="325" t="s">
        <v>44</v>
      </c>
      <c r="K67" s="325" t="s">
        <v>45</v>
      </c>
      <c r="L67" s="325" t="s">
        <v>46</v>
      </c>
      <c r="M67" s="325" t="s">
        <v>47</v>
      </c>
      <c r="N67" s="325" t="s">
        <v>48</v>
      </c>
      <c r="O67" s="325" t="s">
        <v>49</v>
      </c>
      <c r="P67" s="325" t="s">
        <v>50</v>
      </c>
      <c r="Q67" s="325" t="s">
        <v>51</v>
      </c>
      <c r="R67" s="325" t="s">
        <v>52</v>
      </c>
      <c r="S67" s="325" t="s">
        <v>53</v>
      </c>
      <c r="T67" s="325" t="s">
        <v>54</v>
      </c>
      <c r="U67" s="325" t="s">
        <v>55</v>
      </c>
      <c r="V67" s="325" t="s">
        <v>56</v>
      </c>
      <c r="W67" s="325" t="s">
        <v>57</v>
      </c>
      <c r="X67" s="325" t="s">
        <v>58</v>
      </c>
      <c r="Y67" s="325" t="s">
        <v>141</v>
      </c>
      <c r="Z67" s="325" t="s">
        <v>142</v>
      </c>
      <c r="AA67" s="325" t="s">
        <v>143</v>
      </c>
      <c r="AB67" s="325" t="s">
        <v>144</v>
      </c>
      <c r="AC67" s="325" t="s">
        <v>145</v>
      </c>
    </row>
    <row r="68" spans="1:29" ht="15.75" thickBot="1">
      <c r="A68" s="50"/>
      <c r="B68" s="50"/>
      <c r="C68" s="50"/>
      <c r="D68" s="5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5.75">
      <c r="A69" s="392" t="s">
        <v>271</v>
      </c>
      <c r="B69" s="393"/>
      <c r="C69" s="394"/>
      <c r="D69" s="50"/>
      <c r="E69" s="362">
        <f>C35</f>
        <v>3600</v>
      </c>
      <c r="F69" s="363">
        <f t="shared" ref="F69" si="0">E69/100*(100-$C$63)</f>
        <v>3567.6</v>
      </c>
      <c r="G69" s="363">
        <f t="shared" ref="G69" si="1">F69/100*(100-$C$63)</f>
        <v>3535.4915999999998</v>
      </c>
      <c r="H69" s="363">
        <f t="shared" ref="H69" si="2">G69/100*(100-$C$63)</f>
        <v>3503.6721755999993</v>
      </c>
      <c r="I69" s="363">
        <f t="shared" ref="I69" si="3">H69/100*(100-$C$63)</f>
        <v>3472.1391260195987</v>
      </c>
      <c r="J69" s="363">
        <f t="shared" ref="J69" si="4">I69/100*(100-$C$63)</f>
        <v>3440.8898738854218</v>
      </c>
      <c r="K69" s="363">
        <f t="shared" ref="K69" si="5">J69/100*(100-$C$63)</f>
        <v>3409.921865020453</v>
      </c>
      <c r="L69" s="363">
        <f t="shared" ref="L69" si="6">K69/100*(100-$C$63)</f>
        <v>3379.2325682352684</v>
      </c>
      <c r="M69" s="363">
        <f t="shared" ref="M69" si="7">L69/100*(100-$C$63)</f>
        <v>3348.8194751211508</v>
      </c>
      <c r="N69" s="363">
        <f t="shared" ref="N69" si="8">M69/100*(100-$C$63)</f>
        <v>3318.6800998450603</v>
      </c>
      <c r="O69" s="363">
        <f t="shared" ref="O69" si="9">N69/100*(100-$C$63)</f>
        <v>3288.8119789464545</v>
      </c>
      <c r="P69" s="363">
        <f t="shared" ref="P69" si="10">O69/100*(100-$C$63)</f>
        <v>3259.2126711359365</v>
      </c>
      <c r="Q69" s="363">
        <f t="shared" ref="Q69" si="11">P69/100*(100-$C$63)</f>
        <v>3229.8797570957126</v>
      </c>
      <c r="R69" s="363">
        <f t="shared" ref="R69" si="12">Q69/100*(100-$C$63)</f>
        <v>3200.8108392818513</v>
      </c>
      <c r="S69" s="363">
        <f t="shared" ref="S69" si="13">R69/100*(100-$C$63)</f>
        <v>3172.0035417283143</v>
      </c>
      <c r="T69" s="363">
        <f t="shared" ref="T69" si="14">S69/100*(100-$C$63)</f>
        <v>3143.4555098527594</v>
      </c>
      <c r="U69" s="363">
        <f t="shared" ref="U69" si="15">T69/100*(100-$C$63)</f>
        <v>3115.1644102640844</v>
      </c>
      <c r="V69" s="363">
        <f t="shared" ref="V69" si="16">U69/100*(100-$C$63)</f>
        <v>3087.1279305717076</v>
      </c>
      <c r="W69" s="363">
        <f t="shared" ref="W69" si="17">V69/100*(100-$C$63)</f>
        <v>3059.3437791965621</v>
      </c>
      <c r="X69" s="364">
        <f t="shared" ref="X69" si="18">W69/100*(100-$C$63)</f>
        <v>3031.8096851837927</v>
      </c>
      <c r="Y69" s="362">
        <f t="shared" ref="Y69" si="19">X69/100*(100-$C$63)</f>
        <v>3004.5233980171383</v>
      </c>
      <c r="Z69" s="363">
        <f t="shared" ref="Z69" si="20">Y69/100*(100-$C$63)</f>
        <v>2977.4826874349837</v>
      </c>
      <c r="AA69" s="363">
        <f t="shared" ref="AA69" si="21">Z69/100*(100-$C$63)</f>
        <v>2950.6853432480689</v>
      </c>
      <c r="AB69" s="363">
        <f t="shared" ref="AB69" si="22">AA69/100*(100-$C$63)</f>
        <v>2924.129175158836</v>
      </c>
      <c r="AC69" s="364">
        <f t="shared" ref="AC69" si="23">AB69/100*(100-$C$63)</f>
        <v>2897.8120125824062</v>
      </c>
    </row>
    <row r="70" spans="1:29" ht="15.75">
      <c r="A70" s="395" t="s">
        <v>163</v>
      </c>
      <c r="B70" s="396"/>
      <c r="C70" s="390"/>
      <c r="D70" s="50"/>
      <c r="E70" s="365">
        <f>IF(Calcoli!$Q$49=2,0,Autoconsumo!$F$119)</f>
        <v>2500</v>
      </c>
      <c r="F70" s="359">
        <f>IF(Calcoli!$Q$49=2,0,Autoconsumo!$F$120)</f>
        <v>2562.5</v>
      </c>
      <c r="G70" s="359">
        <f>IF(Calcoli!$Q$49=2,0,Autoconsumo!$F$121)</f>
        <v>2626.5624999999995</v>
      </c>
      <c r="H70" s="359">
        <f>IF(Calcoli!$Q$49=2,0,Autoconsumo!$F$122)</f>
        <v>2692.2265624999991</v>
      </c>
      <c r="I70" s="359">
        <f>IF(Calcoli!$Q$49=2,0,Autoconsumo!$F$123)</f>
        <v>2759.5322265624986</v>
      </c>
      <c r="J70" s="359">
        <f>IF(Calcoli!$Q$49=2,0,Autoconsumo!$F$124)</f>
        <v>2828.520532226561</v>
      </c>
      <c r="K70" s="359">
        <f>IF(Calcoli!$Q$49=2,0,Autoconsumo!$F$125)</f>
        <v>2899.233545532225</v>
      </c>
      <c r="L70" s="359">
        <f>IF(Calcoli!$Q$49=2,0,Autoconsumo!$F$126)</f>
        <v>2971.7143841705301</v>
      </c>
      <c r="M70" s="359">
        <f>IF(Calcoli!$Q$49=2,0,Autoconsumo!$F$127)</f>
        <v>3046.0072437747931</v>
      </c>
      <c r="N70" s="359">
        <f>IF(Calcoli!$Q$49=2,0,Autoconsumo!$F$128)</f>
        <v>3122.1574248691627</v>
      </c>
      <c r="O70" s="359">
        <f>IF(Calcoli!$Q$49=2,0,Autoconsumo!$F$129)</f>
        <v>3200.2113604908914</v>
      </c>
      <c r="P70" s="359">
        <f>IF(Calcoli!$Q$49=2,0,Autoconsumo!$F$130)</f>
        <v>3280.2166445031635</v>
      </c>
      <c r="Q70" s="359">
        <f>IF(Calcoli!$Q$49=2,0,Autoconsumo!$F$131)</f>
        <v>3362.2220606157421</v>
      </c>
      <c r="R70" s="359">
        <f>IF(Calcoli!$Q$49=2,0,Autoconsumo!$F$132)</f>
        <v>3446.2776121311354</v>
      </c>
      <c r="S70" s="359">
        <f>IF(Calcoli!$Q$49=2,0,Autoconsumo!$F$133)</f>
        <v>3532.4345524344135</v>
      </c>
      <c r="T70" s="359">
        <f>IF(Calcoli!$Q$49=2,0,Autoconsumo!$F$134)</f>
        <v>3620.7454162452736</v>
      </c>
      <c r="U70" s="359">
        <f>IF(Calcoli!$Q$49=2,0,Autoconsumo!$F$135)</f>
        <v>3711.2640516514052</v>
      </c>
      <c r="V70" s="359">
        <f>IF(Calcoli!$Q$49=2,0,Autoconsumo!$F$136)</f>
        <v>3804.0456529426901</v>
      </c>
      <c r="W70" s="359">
        <f>IF(Calcoli!$Q$49=2,0,Autoconsumo!$F$137)</f>
        <v>3899.1467942662571</v>
      </c>
      <c r="X70" s="366">
        <f>IF(Calcoli!$Q$49=2,0,Autoconsumo!$F$138)</f>
        <v>3996.6254641229129</v>
      </c>
      <c r="Y70" s="365">
        <f>IF(Calcoli!$Q$49=2,0,Autoconsumo!$F$139)</f>
        <v>4096.5411007259854</v>
      </c>
      <c r="Z70" s="359">
        <f>IF(Calcoli!$Q$49=2,0,Autoconsumo!$F$140)</f>
        <v>4198.9546282441343</v>
      </c>
      <c r="AA70" s="359">
        <f>IF(Calcoli!$Q$49=2,0,Autoconsumo!$F$141)</f>
        <v>4303.9284939502377</v>
      </c>
      <c r="AB70" s="359">
        <f>IF(Calcoli!$Q$49=2,0,Autoconsumo!$F$142)</f>
        <v>4411.5267062989933</v>
      </c>
      <c r="AC70" s="366">
        <f>IF(Calcoli!$Q$49=2,0,Autoconsumo!$F$143)</f>
        <v>4521.8148739564676</v>
      </c>
    </row>
    <row r="71" spans="1:29" ht="15.75">
      <c r="A71" s="395" t="s">
        <v>259</v>
      </c>
      <c r="B71" s="396"/>
      <c r="C71" s="390"/>
      <c r="D71" s="50"/>
      <c r="E71" s="365">
        <f>Autoconsumo!$C$119</f>
        <v>1242.8209769312484</v>
      </c>
      <c r="F71" s="359">
        <f>Autoconsumo!$C$120</f>
        <v>1231.635588138867</v>
      </c>
      <c r="G71" s="359">
        <f>Autoconsumo!$C$121</f>
        <v>1220.5508678456172</v>
      </c>
      <c r="H71" s="359">
        <f>Autoconsumo!$C$122</f>
        <v>1209.5659100350063</v>
      </c>
      <c r="I71" s="359">
        <f>Autoconsumo!$C$123</f>
        <v>1198.679816844691</v>
      </c>
      <c r="J71" s="359">
        <f>Autoconsumo!$C$124</f>
        <v>1187.8916984930886</v>
      </c>
      <c r="K71" s="359">
        <f>Autoconsumo!$C$125</f>
        <v>1177.2006732066509</v>
      </c>
      <c r="L71" s="359">
        <f>Autoconsumo!$C$126</f>
        <v>1166.6058671477908</v>
      </c>
      <c r="M71" s="359">
        <f>Autoconsumo!$C$127</f>
        <v>1156.1064143434608</v>
      </c>
      <c r="N71" s="359">
        <f>Autoconsumo!$C$128</f>
        <v>1145.7014566143696</v>
      </c>
      <c r="O71" s="359">
        <f>Autoconsumo!$C$129</f>
        <v>1135.3901435048401</v>
      </c>
      <c r="P71" s="359">
        <f>Autoconsumo!$C$130</f>
        <v>1125.1716322132966</v>
      </c>
      <c r="Q71" s="359">
        <f>Autoconsumo!$C$131</f>
        <v>1115.0450875233767</v>
      </c>
      <c r="R71" s="359">
        <f>Autoconsumo!$C$132</f>
        <v>1105.0096817356664</v>
      </c>
      <c r="S71" s="359">
        <f>Autoconsumo!$C$133</f>
        <v>1095.0645946000452</v>
      </c>
      <c r="T71" s="359">
        <f>Autoconsumo!$C$134</f>
        <v>1085.2090132486449</v>
      </c>
      <c r="U71" s="359">
        <f>Autoconsumo!$C$135</f>
        <v>1075.4421321294069</v>
      </c>
      <c r="V71" s="359">
        <f>Autoconsumo!$C$136</f>
        <v>1065.7631529402422</v>
      </c>
      <c r="W71" s="359">
        <f>Autoconsumo!$C$137</f>
        <v>1056.1712845637801</v>
      </c>
      <c r="X71" s="366">
        <f>Autoconsumo!$C$138</f>
        <v>1046.665743002706</v>
      </c>
      <c r="Y71" s="365">
        <f>Autoconsumo!$C$139</f>
        <v>1037.2457513156814</v>
      </c>
      <c r="Z71" s="359">
        <f>Autoconsumo!$C$140</f>
        <v>1027.9105395538402</v>
      </c>
      <c r="AA71" s="359">
        <f>Autoconsumo!$C$141</f>
        <v>1018.6593446978557</v>
      </c>
      <c r="AB71" s="359">
        <f>Autoconsumo!$C$142</f>
        <v>1009.4914105955748</v>
      </c>
      <c r="AC71" s="366">
        <f>Autoconsumo!$C$143</f>
        <v>1000.4059879002145</v>
      </c>
    </row>
    <row r="72" spans="1:29" ht="15.75">
      <c r="A72" s="395" t="s">
        <v>272</v>
      </c>
      <c r="B72" s="396"/>
      <c r="C72" s="390"/>
      <c r="D72" s="50"/>
      <c r="E72" s="365">
        <f>Autoconsumo!$G$119</f>
        <v>1257.1790230687516</v>
      </c>
      <c r="F72" s="359">
        <f>Autoconsumo!$G$120</f>
        <v>1330.864411861133</v>
      </c>
      <c r="G72" s="359">
        <f>Autoconsumo!$G$121</f>
        <v>1406.0116321543824</v>
      </c>
      <c r="H72" s="359">
        <f>Autoconsumo!$G$122</f>
        <v>1482.6606524649928</v>
      </c>
      <c r="I72" s="359">
        <f>Autoconsumo!$G$123</f>
        <v>1560.8524097178076</v>
      </c>
      <c r="J72" s="359">
        <f>Autoconsumo!$G$124</f>
        <v>1640.6288337334724</v>
      </c>
      <c r="K72" s="359">
        <f>Autoconsumo!$G$125</f>
        <v>1722.0328723255741</v>
      </c>
      <c r="L72" s="359">
        <f>Autoconsumo!$G$126</f>
        <v>1805.1085170227393</v>
      </c>
      <c r="M72" s="359">
        <f>Autoconsumo!$G$127</f>
        <v>1889.9008294313323</v>
      </c>
      <c r="N72" s="359">
        <f>Autoconsumo!$G$128</f>
        <v>1976.4559682547931</v>
      </c>
      <c r="O72" s="359">
        <f>Autoconsumo!$G$129</f>
        <v>2064.8212169860512</v>
      </c>
      <c r="P72" s="359">
        <f>Autoconsumo!$G$130</f>
        <v>2134.0410389226399</v>
      </c>
      <c r="Q72" s="359">
        <f>Autoconsumo!$G$131</f>
        <v>2114.8346695723358</v>
      </c>
      <c r="R72" s="359">
        <f>Autoconsumo!$G$132</f>
        <v>2095.8011575461851</v>
      </c>
      <c r="S72" s="359">
        <f>Autoconsumo!$G$133</f>
        <v>2076.9389471282693</v>
      </c>
      <c r="T72" s="359">
        <f>Autoconsumo!$G$134</f>
        <v>2058.2464966041143</v>
      </c>
      <c r="U72" s="359">
        <f>Autoconsumo!$G$135</f>
        <v>2039.7222781346775</v>
      </c>
      <c r="V72" s="359">
        <f>Autoconsumo!$G$136</f>
        <v>2021.3647776314654</v>
      </c>
      <c r="W72" s="359">
        <f>Autoconsumo!$G$137</f>
        <v>2003.172494632782</v>
      </c>
      <c r="X72" s="366">
        <f>Autoconsumo!$G$138</f>
        <v>1985.1439421810867</v>
      </c>
      <c r="Y72" s="365">
        <f>Autoconsumo!$G$139</f>
        <v>1967.2776467014569</v>
      </c>
      <c r="Z72" s="359">
        <f>Autoconsumo!$G$140</f>
        <v>1949.5721478811436</v>
      </c>
      <c r="AA72" s="359">
        <f>Autoconsumo!$G$141</f>
        <v>1932.0259985502132</v>
      </c>
      <c r="AB72" s="359">
        <f>Autoconsumo!$G$142</f>
        <v>1914.637764563261</v>
      </c>
      <c r="AC72" s="366">
        <f>Autoconsumo!$G$143</f>
        <v>1897.4060246821916</v>
      </c>
    </row>
    <row r="73" spans="1:29" ht="15.75">
      <c r="A73" s="395" t="s">
        <v>215</v>
      </c>
      <c r="B73" s="396"/>
      <c r="C73" s="390"/>
      <c r="D73" s="50"/>
      <c r="E73" s="365">
        <f>Autoconsumo!$H$119</f>
        <v>1100</v>
      </c>
      <c r="F73" s="359">
        <f>Autoconsumo!$H$120</f>
        <v>1005.1000000000001</v>
      </c>
      <c r="G73" s="359">
        <f>Autoconsumo!$H$121</f>
        <v>908.92910000000029</v>
      </c>
      <c r="H73" s="359">
        <f>Autoconsumo!$H$122</f>
        <v>811.44561310000017</v>
      </c>
      <c r="I73" s="359">
        <f>Autoconsumo!$H$123</f>
        <v>712.60689945709987</v>
      </c>
      <c r="J73" s="359">
        <f>Autoconsumo!$H$124</f>
        <v>612.36934165886055</v>
      </c>
      <c r="K73" s="359">
        <f>Autoconsumo!$H$125</f>
        <v>510.68831948822776</v>
      </c>
      <c r="L73" s="359">
        <f>Autoconsumo!$H$126</f>
        <v>407.51818406473831</v>
      </c>
      <c r="M73" s="359">
        <f>Autoconsumo!$H$127</f>
        <v>302.81223134635752</v>
      </c>
      <c r="N73" s="359">
        <f>Autoconsumo!$H$128</f>
        <v>196.52267497589787</v>
      </c>
      <c r="O73" s="359">
        <f>Autoconsumo!$H$129</f>
        <v>88.600618455563108</v>
      </c>
      <c r="P73" s="359">
        <f>Autoconsumo!$H$130</f>
        <v>0</v>
      </c>
      <c r="Q73" s="359">
        <f>Autoconsumo!$H$131</f>
        <v>0</v>
      </c>
      <c r="R73" s="359">
        <f>Autoconsumo!$H$132</f>
        <v>0</v>
      </c>
      <c r="S73" s="359">
        <f>Autoconsumo!$H$133</f>
        <v>0</v>
      </c>
      <c r="T73" s="359">
        <f>Autoconsumo!$H$134</f>
        <v>0</v>
      </c>
      <c r="U73" s="359">
        <f>Autoconsumo!$H$135</f>
        <v>0</v>
      </c>
      <c r="V73" s="359">
        <f>Autoconsumo!$H$136</f>
        <v>0</v>
      </c>
      <c r="W73" s="359">
        <f>Autoconsumo!$H$137</f>
        <v>0</v>
      </c>
      <c r="X73" s="366">
        <f>Autoconsumo!$H$138</f>
        <v>0</v>
      </c>
      <c r="Y73" s="365">
        <f>Autoconsumo!$H$139</f>
        <v>0</v>
      </c>
      <c r="Z73" s="359">
        <f>Autoconsumo!$H$140</f>
        <v>0</v>
      </c>
      <c r="AA73" s="359">
        <f>Autoconsumo!$H$141</f>
        <v>0</v>
      </c>
      <c r="AB73" s="359">
        <f>Autoconsumo!$H$142</f>
        <v>0</v>
      </c>
      <c r="AC73" s="366">
        <f>Autoconsumo!$H$143</f>
        <v>0</v>
      </c>
    </row>
    <row r="74" spans="1:29" ht="16.5" thickBot="1">
      <c r="A74" s="397" t="s">
        <v>36</v>
      </c>
      <c r="B74" s="398"/>
      <c r="C74" s="399"/>
      <c r="D74" s="50"/>
      <c r="E74" s="437">
        <f>Autoconsumo!$D$119</f>
        <v>2357.1790230687516</v>
      </c>
      <c r="F74" s="438">
        <f>Autoconsumo!$D$120</f>
        <v>2335.9644118611332</v>
      </c>
      <c r="G74" s="438">
        <f>Autoconsumo!$D$121</f>
        <v>2314.9407321543827</v>
      </c>
      <c r="H74" s="438">
        <f>Autoconsumo!$D$122</f>
        <v>2294.106265564993</v>
      </c>
      <c r="I74" s="438">
        <f>Autoconsumo!$D$123</f>
        <v>2273.4593091749075</v>
      </c>
      <c r="J74" s="438">
        <f>Autoconsumo!$D$124</f>
        <v>2252.998175392333</v>
      </c>
      <c r="K74" s="438">
        <f>Autoconsumo!$D$125</f>
        <v>2232.7211918138019</v>
      </c>
      <c r="L74" s="438">
        <f>Autoconsumo!$D$126</f>
        <v>2212.6267010874776</v>
      </c>
      <c r="M74" s="438">
        <f>Autoconsumo!$D$127</f>
        <v>2192.7130607776899</v>
      </c>
      <c r="N74" s="438">
        <f>Autoconsumo!$D$128</f>
        <v>2172.978643230691</v>
      </c>
      <c r="O74" s="438">
        <f>Autoconsumo!$D$129</f>
        <v>2153.4218354416143</v>
      </c>
      <c r="P74" s="438">
        <f>Autoconsumo!$D$130</f>
        <v>2134.0410389226399</v>
      </c>
      <c r="Q74" s="438">
        <f>Autoconsumo!$D$131</f>
        <v>2114.8346695723358</v>
      </c>
      <c r="R74" s="438">
        <f>Autoconsumo!$D$132</f>
        <v>2095.8011575461851</v>
      </c>
      <c r="S74" s="438">
        <f>Autoconsumo!$D$133</f>
        <v>2076.9389471282693</v>
      </c>
      <c r="T74" s="438">
        <f>Autoconsumo!$D$134</f>
        <v>2058.2464966041143</v>
      </c>
      <c r="U74" s="438">
        <f>Autoconsumo!$D$135</f>
        <v>2039.7222781346775</v>
      </c>
      <c r="V74" s="438">
        <f>Autoconsumo!$D$136</f>
        <v>2021.3647776314654</v>
      </c>
      <c r="W74" s="438">
        <f>Autoconsumo!$D$137</f>
        <v>2003.172494632782</v>
      </c>
      <c r="X74" s="439">
        <f>Autoconsumo!$D$138</f>
        <v>1985.1439421810867</v>
      </c>
      <c r="Y74" s="437">
        <f>Autoconsumo!$D$139</f>
        <v>1967.2776467014569</v>
      </c>
      <c r="Z74" s="438">
        <f>Autoconsumo!$D$140</f>
        <v>1949.5721478811436</v>
      </c>
      <c r="AA74" s="438">
        <f>Autoconsumo!$D$141</f>
        <v>1932.0259985502132</v>
      </c>
      <c r="AB74" s="438">
        <f>Autoconsumo!$D$142</f>
        <v>1914.637764563261</v>
      </c>
      <c r="AC74" s="439">
        <f>Autoconsumo!$D$143</f>
        <v>1897.4060246821916</v>
      </c>
    </row>
    <row r="75" spans="1:29" ht="11.25" customHeight="1" thickBot="1">
      <c r="A75" s="52"/>
      <c r="B75" s="50"/>
      <c r="C75" s="50"/>
      <c r="D75" s="5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</row>
    <row r="76" spans="1:29" ht="15.75">
      <c r="A76" s="400" t="s">
        <v>134</v>
      </c>
      <c r="B76" s="401"/>
      <c r="C76" s="402"/>
      <c r="D76" s="50"/>
      <c r="E76" s="431">
        <f>IF(Calcoli!$D$1&lt;6,E74*$D$25/1000,0)</f>
        <v>537.43681725967531</v>
      </c>
      <c r="F76" s="432">
        <f>IF(Calcoli!$D$1&lt;6,F74*$D$25/1000,0)</f>
        <v>532.59988590433829</v>
      </c>
      <c r="G76" s="432">
        <f>IF(Calcoli!$D$1&lt;6,G74*$D$25/1000,0)</f>
        <v>527.80648693119917</v>
      </c>
      <c r="H76" s="432">
        <f>IF(Calcoli!$D$1&lt;6,H74*$D$25/1000,0)</f>
        <v>523.05622854881835</v>
      </c>
      <c r="I76" s="432">
        <f>IF(Calcoli!$D$1&lt;6,I74*$D$25/1000,0)</f>
        <v>518.3487224918789</v>
      </c>
      <c r="J76" s="432">
        <f>IF(Calcoli!$D$1&lt;6,J74*$D$25/1000,0)</f>
        <v>513.6835839894519</v>
      </c>
      <c r="K76" s="432">
        <f>IF(Calcoli!$D$1&lt;6,K74*$D$25/1000,0)</f>
        <v>509.06043173354686</v>
      </c>
      <c r="L76" s="432">
        <f>IF(Calcoli!$D$1&lt;6,L74*$D$25/1000,0)</f>
        <v>504.47888784794492</v>
      </c>
      <c r="M76" s="432">
        <f>IF(Calcoli!$D$1&lt;6,M74*$D$25/1000,0)</f>
        <v>499.93857785731325</v>
      </c>
      <c r="N76" s="432">
        <f>IF(Calcoli!$D$1&lt;6,N74*$D$25/1000,0)</f>
        <v>495.43913065659757</v>
      </c>
      <c r="O76" s="432">
        <f>IF(Calcoli!$D$1&lt;6,O74*$D$25/1000,0)</f>
        <v>490.9801784806881</v>
      </c>
      <c r="P76" s="432">
        <f>IF(Calcoli!$D$1&lt;6,P74*$D$25/1000,0)</f>
        <v>486.56135687436193</v>
      </c>
      <c r="Q76" s="432">
        <f>IF(Calcoli!$D$1&lt;6,Q74*$D$25/1000,0)</f>
        <v>482.18230466249253</v>
      </c>
      <c r="R76" s="432">
        <f>IF(Calcoli!$D$1&lt;6,R74*$D$25/1000,0)</f>
        <v>477.84266392053019</v>
      </c>
      <c r="S76" s="432">
        <f>IF(Calcoli!$D$1&lt;6,S74*$D$25/1000,0)</f>
        <v>473.5420799452454</v>
      </c>
      <c r="T76" s="432">
        <f>IF(Calcoli!$D$1&lt;6,T74*$D$25/1000,0)</f>
        <v>469.28020122573804</v>
      </c>
      <c r="U76" s="432">
        <f>IF(Calcoli!$D$1&lt;6,U74*$D$25/1000,0)</f>
        <v>465.05667941470648</v>
      </c>
      <c r="V76" s="432">
        <f>IF(Calcoli!$D$1&lt;6,V74*$D$25/1000,0)</f>
        <v>460.8711692999741</v>
      </c>
      <c r="W76" s="432">
        <f>IF(Calcoli!$D$1&lt;6,W74*$D$25/1000,0)</f>
        <v>456.72332877627429</v>
      </c>
      <c r="X76" s="433">
        <f>IF(Calcoli!$D$1&lt;6,X74*$D$25/1000,0)</f>
        <v>452.61281881728775</v>
      </c>
      <c r="Y76" s="431">
        <v>0</v>
      </c>
      <c r="Z76" s="432">
        <v>0</v>
      </c>
      <c r="AA76" s="432">
        <v>0</v>
      </c>
      <c r="AB76" s="432">
        <v>0</v>
      </c>
      <c r="AC76" s="433">
        <v>0</v>
      </c>
    </row>
    <row r="77" spans="1:29" ht="15.75">
      <c r="A77" s="403" t="s">
        <v>135</v>
      </c>
      <c r="B77" s="404"/>
      <c r="C77" s="405"/>
      <c r="D77" s="50"/>
      <c r="E77" s="367">
        <f>IF(Calcoli!$D$1&lt;6,E71*$D$26/1000,0)</f>
        <v>181.45186263196226</v>
      </c>
      <c r="F77" s="361">
        <f>IF(Calcoli!$D$1&lt;6,F71*$D$26/1000,0)</f>
        <v>179.81879586827458</v>
      </c>
      <c r="G77" s="361">
        <f>IF(Calcoli!$D$1&lt;6,G71*$D$26/1000,0)</f>
        <v>178.20042670546013</v>
      </c>
      <c r="H77" s="361">
        <f>IF(Calcoli!$D$1&lt;6,H71*$D$26/1000,0)</f>
        <v>176.59662286511093</v>
      </c>
      <c r="I77" s="361">
        <f>IF(Calcoli!$D$1&lt;6,I71*$D$26/1000,0)</f>
        <v>175.00725325932487</v>
      </c>
      <c r="J77" s="361">
        <f>IF(Calcoli!$D$1&lt;6,J71*$D$26/1000,0)</f>
        <v>173.43218797999094</v>
      </c>
      <c r="K77" s="361">
        <f>IF(Calcoli!$D$1&lt;6,K71*$D$26/1000,0)</f>
        <v>171.87129828817103</v>
      </c>
      <c r="L77" s="361">
        <f>IF(Calcoli!$D$1&lt;6,L71*$D$26/1000,0)</f>
        <v>170.32445660357746</v>
      </c>
      <c r="M77" s="361">
        <f>IF(Calcoli!$D$1&lt;6,M71*$D$26/1000,0)</f>
        <v>168.79153649414525</v>
      </c>
      <c r="N77" s="361">
        <f>IF(Calcoli!$D$1&lt;6,N71*$D$26/1000,0)</f>
        <v>167.27241266569794</v>
      </c>
      <c r="O77" s="361">
        <f>IF(Calcoli!$D$1&lt;6,O71*$D$26/1000,0)</f>
        <v>165.76696095170666</v>
      </c>
      <c r="P77" s="361">
        <f>IF(Calcoli!$D$1&lt;6,P71*$D$26/1000,0)</f>
        <v>164.27505830314129</v>
      </c>
      <c r="Q77" s="361">
        <f>IF(Calcoli!$D$1&lt;6,Q71*$D$26/1000,0)</f>
        <v>162.79658277841298</v>
      </c>
      <c r="R77" s="361">
        <f>IF(Calcoli!$D$1&lt;6,R71*$D$26/1000,0)</f>
        <v>161.3314135334073</v>
      </c>
      <c r="S77" s="361">
        <f>IF(Calcoli!$D$1&lt;6,S71*$D$26/1000,0)</f>
        <v>159.8794308116066</v>
      </c>
      <c r="T77" s="361">
        <f>IF(Calcoli!$D$1&lt;6,T71*$D$26/1000,0)</f>
        <v>158.44051593430214</v>
      </c>
      <c r="U77" s="361">
        <f>IF(Calcoli!$D$1&lt;6,U71*$D$26/1000,0)</f>
        <v>157.01455129089339</v>
      </c>
      <c r="V77" s="361">
        <f>IF(Calcoli!$D$1&lt;6,V71*$D$26/1000,0)</f>
        <v>155.60142032927536</v>
      </c>
      <c r="W77" s="361">
        <f>IF(Calcoli!$D$1&lt;6,W71*$D$26/1000,0)</f>
        <v>154.20100754631187</v>
      </c>
      <c r="X77" s="368">
        <f>IF(Calcoli!$D$1&lt;6,X71*$D$26/1000,0)</f>
        <v>152.81319847839507</v>
      </c>
      <c r="Y77" s="367">
        <v>0</v>
      </c>
      <c r="Z77" s="361">
        <v>0</v>
      </c>
      <c r="AA77" s="361">
        <v>0</v>
      </c>
      <c r="AB77" s="361">
        <v>0</v>
      </c>
      <c r="AC77" s="368">
        <v>0</v>
      </c>
    </row>
    <row r="78" spans="1:29" ht="15.75">
      <c r="A78" s="403" t="s">
        <v>214</v>
      </c>
      <c r="B78" s="404"/>
      <c r="C78" s="405"/>
      <c r="D78" s="50"/>
      <c r="E78" s="367">
        <f>IF(Calcoli!D256=TRUE,(E72*Calcoli!D239)*1.051,0)</f>
        <v>0</v>
      </c>
      <c r="F78" s="361">
        <f>IF(Calcoli!E256=TRUE,(F72*Calcoli!E239)*1.051,0)</f>
        <v>0</v>
      </c>
      <c r="G78" s="361">
        <f>IF(Calcoli!F256=TRUE,(G72*Calcoli!F239)*1.051,0)</f>
        <v>0</v>
      </c>
      <c r="H78" s="361">
        <f>IF(Calcoli!G256=TRUE,(H72*Calcoli!G239)*1.051,0)</f>
        <v>0</v>
      </c>
      <c r="I78" s="361">
        <f>IF(Calcoli!H256=TRUE,(I72*Calcoli!H239)*1.051,0)</f>
        <v>0</v>
      </c>
      <c r="J78" s="361">
        <f>IF(Calcoli!I256=TRUE,(J72*Calcoli!I239)*1.051,0)</f>
        <v>0</v>
      </c>
      <c r="K78" s="361">
        <f>IF(Calcoli!J256=TRUE,(K72*Calcoli!J239)*1.051,0)</f>
        <v>0</v>
      </c>
      <c r="L78" s="361">
        <f>IF(Calcoli!K256=TRUE,(L72*Calcoli!K239)*1.051,0)</f>
        <v>0</v>
      </c>
      <c r="M78" s="361">
        <f>IF(Calcoli!L256=TRUE,(M72*Calcoli!L239)*1.051,0)</f>
        <v>0</v>
      </c>
      <c r="N78" s="361">
        <f>IF(Calcoli!M256=TRUE,(N72*Calcoli!M239)*1.051,0)</f>
        <v>0</v>
      </c>
      <c r="O78" s="361">
        <f>IF(Calcoli!N256=TRUE,(O72*Calcoli!N239)*1.051,0)</f>
        <v>0</v>
      </c>
      <c r="P78" s="361">
        <f>IF(Calcoli!O256=TRUE,(P72*Calcoli!O239)*1.051,0)</f>
        <v>0</v>
      </c>
      <c r="Q78" s="361">
        <f>IF(Calcoli!P256=TRUE,(Q72*Calcoli!P239)*1.051,0)</f>
        <v>0</v>
      </c>
      <c r="R78" s="361">
        <f>IF(Calcoli!Q256=TRUE,(R72*Calcoli!Q239)*1.051,0)</f>
        <v>0</v>
      </c>
      <c r="S78" s="361">
        <f>IF(Calcoli!R256=TRUE,(S72*Calcoli!R239)*1.051,0)</f>
        <v>0</v>
      </c>
      <c r="T78" s="361">
        <f>IF(Calcoli!S256=TRUE,(T72*Calcoli!S239)*1.051,0)</f>
        <v>0</v>
      </c>
      <c r="U78" s="361">
        <f>IF(Calcoli!T256=TRUE,(U72*Calcoli!T239)*1.051,0)</f>
        <v>0</v>
      </c>
      <c r="V78" s="361">
        <f>IF(Calcoli!U256=TRUE,(V72*Calcoli!U239)*1.051,0)</f>
        <v>0</v>
      </c>
      <c r="W78" s="361">
        <f>IF(Calcoli!V256=TRUE,(W72*Calcoli!V239)*1.051,0)</f>
        <v>0</v>
      </c>
      <c r="X78" s="430">
        <f>IF(Calcoli!W256=TRUE,(X72*Calcoli!W239)*1.051,0)</f>
        <v>0</v>
      </c>
      <c r="Y78" s="429">
        <f>IF(Calcoli!$Q$49=1,(Y72*Calcoli!X239)*1.051,0)</f>
        <v>330.81740906931697</v>
      </c>
      <c r="Z78" s="428">
        <f>IF(Calcoli!$Q$49=1,(Z72*Calcoli!Y239)*1.051,0)</f>
        <v>327.84005238769311</v>
      </c>
      <c r="AA78" s="428">
        <f>IF(Calcoli!$Q$49=1,(AA72*Calcoli!Z239)*1.051,0)</f>
        <v>324.88949191620384</v>
      </c>
      <c r="AB78" s="428">
        <f>IF(Calcoli!$Q$49=1,(AB72*Calcoli!AA239)*1.051,0)</f>
        <v>321.96548648895799</v>
      </c>
      <c r="AC78" s="430">
        <f>IF(Calcoli!$Q$49=1,(AC72*Calcoli!AB239)*1.051,0)</f>
        <v>319.06779711055736</v>
      </c>
    </row>
    <row r="79" spans="1:29" ht="15.75">
      <c r="A79" s="403" t="s">
        <v>155</v>
      </c>
      <c r="B79" s="404"/>
      <c r="C79" s="405"/>
      <c r="D79" s="50"/>
      <c r="E79" s="367">
        <f>IF(Calcoli!D256=TRUE,(E73*Calcoli!D251)*1.051,0)</f>
        <v>0</v>
      </c>
      <c r="F79" s="361">
        <f>IF(Calcoli!E256=TRUE,(F73*Calcoli!E251)*1.051,0)</f>
        <v>0</v>
      </c>
      <c r="G79" s="428">
        <f>IF(Calcoli!F256=TRUE,(G73*Calcoli!F251)*1.051,0)</f>
        <v>0</v>
      </c>
      <c r="H79" s="428">
        <f>IF(Calcoli!G256=TRUE,(H73*Calcoli!G251)*1.051,0)</f>
        <v>0</v>
      </c>
      <c r="I79" s="428">
        <f>IF(Calcoli!H256=TRUE,(I73*Calcoli!H251)*1.051,0)</f>
        <v>0</v>
      </c>
      <c r="J79" s="428">
        <f>IF(Calcoli!I256=TRUE,(J73*Calcoli!I251)*1.051,0)</f>
        <v>0</v>
      </c>
      <c r="K79" s="428">
        <f>IF(Calcoli!J256=TRUE,(K73*Calcoli!J251)*1.051,0)</f>
        <v>0</v>
      </c>
      <c r="L79" s="428">
        <f>IF(Calcoli!K256=TRUE,(L73*Calcoli!K251)*1.051,0)</f>
        <v>0</v>
      </c>
      <c r="M79" s="428">
        <f>IF(Calcoli!L256=TRUE,(M73*Calcoli!L251)*1.051,0)</f>
        <v>0</v>
      </c>
      <c r="N79" s="428">
        <f>IF(Calcoli!M256=TRUE,(N73*Calcoli!M251)*1.051,0)</f>
        <v>0</v>
      </c>
      <c r="O79" s="428">
        <f>IF(Calcoli!N256=TRUE,(O73*Calcoli!N251)*1.051,0)</f>
        <v>0</v>
      </c>
      <c r="P79" s="428">
        <f>IF(Calcoli!O256=TRUE,(P73*Calcoli!O251)*1.051,0)</f>
        <v>0</v>
      </c>
      <c r="Q79" s="428">
        <f>IF(Calcoli!P256=TRUE,(Q73*Calcoli!P251)*1.051,0)</f>
        <v>0</v>
      </c>
      <c r="R79" s="428">
        <f>IF(Calcoli!Q256=TRUE,(R73*Calcoli!Q251)*1.051,0)</f>
        <v>0</v>
      </c>
      <c r="S79" s="428">
        <f>IF(Calcoli!R256=TRUE,(S73*Calcoli!R251)*1.051,0)</f>
        <v>0</v>
      </c>
      <c r="T79" s="428">
        <f>IF(Calcoli!S256=TRUE,(T73*Calcoli!S251)*1.051,0)</f>
        <v>0</v>
      </c>
      <c r="U79" s="428">
        <f>IF(Calcoli!T256=TRUE,(U73*Calcoli!T251)*1.051,0)</f>
        <v>0</v>
      </c>
      <c r="V79" s="428">
        <f>IF(Calcoli!U256=TRUE,(V73*Calcoli!U251)*1.051,0)</f>
        <v>0</v>
      </c>
      <c r="W79" s="428">
        <f>IF(Calcoli!V256=TRUE,(W73*Calcoli!V251)*1.051,0)</f>
        <v>0</v>
      </c>
      <c r="X79" s="430">
        <f>IF(Calcoli!W256=TRUE,(X73*Calcoli!W251)*1.051,0)</f>
        <v>0</v>
      </c>
      <c r="Y79" s="429">
        <f>IF(Calcoli!$Q$49=1,(Y73*Calcoli!X251)*1.051,0)</f>
        <v>0</v>
      </c>
      <c r="Z79" s="428">
        <f>IF(Calcoli!$Q$49=1,(Z73*Calcoli!Y251)*1.051,0)</f>
        <v>0</v>
      </c>
      <c r="AA79" s="428">
        <f>IF(Calcoli!$Q$49=1,(AA73*Calcoli!Z251)*1.051,0)</f>
        <v>0</v>
      </c>
      <c r="AB79" s="428">
        <f>IF(Calcoli!$Q$49=1,(AB73*Calcoli!AA251)*1.051,0)</f>
        <v>0</v>
      </c>
      <c r="AC79" s="430">
        <f>IF(Calcoli!$Q$49=1,(AC73*Calcoli!AB251)*1.051,0)</f>
        <v>0</v>
      </c>
    </row>
    <row r="80" spans="1:29" ht="15.75">
      <c r="A80" s="403" t="s">
        <v>152</v>
      </c>
      <c r="B80" s="404"/>
      <c r="C80" s="405"/>
      <c r="D80" s="50"/>
      <c r="E80" s="367">
        <f>IF(Calcoli!$D$236=TRUE,Calcoli!D251*E74,0)</f>
        <v>0</v>
      </c>
      <c r="F80" s="361">
        <f>IF(Calcoli!$D$236=TRUE,Calcoli!E251*F74,0)</f>
        <v>0</v>
      </c>
      <c r="G80" s="361">
        <f>IF(Calcoli!$D$236=TRUE,Calcoli!F251*G74,0)</f>
        <v>0</v>
      </c>
      <c r="H80" s="361">
        <f>IF(Calcoli!$D$236=TRUE,Calcoli!G251*H74,0)</f>
        <v>0</v>
      </c>
      <c r="I80" s="361">
        <f>IF(Calcoli!$D$236=TRUE,Calcoli!H251*I74,0)</f>
        <v>0</v>
      </c>
      <c r="J80" s="361">
        <f>IF(Calcoli!$D$236=TRUE,Calcoli!I251*J74,0)</f>
        <v>0</v>
      </c>
      <c r="K80" s="361">
        <f>IF(Calcoli!$D$236=TRUE,Calcoli!J251*K74,0)</f>
        <v>0</v>
      </c>
      <c r="L80" s="361">
        <f>IF(Calcoli!$D$236=TRUE,Calcoli!K251*L74,0)</f>
        <v>0</v>
      </c>
      <c r="M80" s="361">
        <f>IF(Calcoli!$D$236=TRUE,Calcoli!L251*M74,0)</f>
        <v>0</v>
      </c>
      <c r="N80" s="361">
        <f>IF(Calcoli!$D$236=TRUE,Calcoli!M251*N74,0)</f>
        <v>0</v>
      </c>
      <c r="O80" s="361">
        <f>IF(Calcoli!$D$236=TRUE,Calcoli!N251*O74,0)</f>
        <v>0</v>
      </c>
      <c r="P80" s="361">
        <f>IF(Calcoli!$D$236=TRUE,Calcoli!O251*P74,0)</f>
        <v>0</v>
      </c>
      <c r="Q80" s="361">
        <f>IF(Calcoli!$D$236=TRUE,Calcoli!P251*Q74,0)</f>
        <v>0</v>
      </c>
      <c r="R80" s="361">
        <f>IF(Calcoli!$D$236=TRUE,Calcoli!Q251*R74,0)</f>
        <v>0</v>
      </c>
      <c r="S80" s="361">
        <f>IF(Calcoli!$D$236=TRUE,Calcoli!R251*S74,0)</f>
        <v>0</v>
      </c>
      <c r="T80" s="361">
        <f>IF(Calcoli!$D$236=TRUE,Calcoli!S251*T74,0)</f>
        <v>0</v>
      </c>
      <c r="U80" s="361">
        <f>IF(Calcoli!$D$236=TRUE,Calcoli!T251*U74,0)</f>
        <v>0</v>
      </c>
      <c r="V80" s="361">
        <f>IF(Calcoli!$D$236=TRUE,Calcoli!U251*V74,0)</f>
        <v>0</v>
      </c>
      <c r="W80" s="361">
        <f>IF(Calcoli!$D$236=TRUE,Calcoli!V251*W74,0)</f>
        <v>0</v>
      </c>
      <c r="X80" s="368">
        <f>IF(Calcoli!$D$236=TRUE,Calcoli!W251*X74,0)</f>
        <v>0</v>
      </c>
      <c r="Y80" s="367">
        <f>IF(Calcoli!$Q$49=2,Y74*Calcoli!X251,0)</f>
        <v>0</v>
      </c>
      <c r="Z80" s="361">
        <f>IF(Calcoli!$Q$49=2,Z74*Calcoli!Y251,0)</f>
        <v>0</v>
      </c>
      <c r="AA80" s="361">
        <f>IF(Calcoli!$Q$49=2,AA74*Calcoli!Z251,0)</f>
        <v>0</v>
      </c>
      <c r="AB80" s="361">
        <f>IF(Calcoli!$Q$49=2,AB74*Calcoli!AA251,0)</f>
        <v>0</v>
      </c>
      <c r="AC80" s="368">
        <f>IF(Calcoli!$Q$49=2,AC74*Calcoli!AB251,0)</f>
        <v>0</v>
      </c>
    </row>
    <row r="81" spans="1:29" ht="16.5" thickBot="1">
      <c r="A81" s="403" t="s">
        <v>268</v>
      </c>
      <c r="B81" s="404"/>
      <c r="C81" s="405"/>
      <c r="D81" s="50"/>
      <c r="E81" s="434">
        <f>IF(Calcoli!D265=TRUE,(($C$4*$C$43)*1.1)/20,0)</f>
        <v>0</v>
      </c>
      <c r="F81" s="435">
        <f>IF(Calcoli!E265=TRUE,(($C$4*$C$43)*1.1)/20,0)</f>
        <v>0</v>
      </c>
      <c r="G81" s="435">
        <f>IF(Calcoli!F265=TRUE,(($C$4*$C$43)*1.1)/20,0)</f>
        <v>0</v>
      </c>
      <c r="H81" s="435">
        <f>IF(Calcoli!G265=TRUE,(($C$4*$C$43)*1.1)/20,0)</f>
        <v>0</v>
      </c>
      <c r="I81" s="435">
        <f>IF(Calcoli!H265=TRUE,(($C$4*$C$43)*1.1)/20,0)</f>
        <v>0</v>
      </c>
      <c r="J81" s="435">
        <f>IF(Calcoli!I265=TRUE,(($C$4*$C$43)*1.1)/20,0)</f>
        <v>0</v>
      </c>
      <c r="K81" s="435">
        <f>IF(Calcoli!J265=TRUE,(($C$4*$C$43)*1.1)/20,0)</f>
        <v>0</v>
      </c>
      <c r="L81" s="435">
        <f>IF(Calcoli!K265=TRUE,(($C$4*$C$43)*1.1)/20,0)</f>
        <v>0</v>
      </c>
      <c r="M81" s="435">
        <f>IF(Calcoli!L265=TRUE,(($C$4*$C$43)*1.1)/20,0)</f>
        <v>0</v>
      </c>
      <c r="N81" s="435">
        <f>IF(Calcoli!M265=TRUE,(($C$4*$C$43)*1.1)/20,0)</f>
        <v>0</v>
      </c>
      <c r="O81" s="435">
        <v>0</v>
      </c>
      <c r="P81" s="435">
        <v>0</v>
      </c>
      <c r="Q81" s="435">
        <v>0</v>
      </c>
      <c r="R81" s="435">
        <v>0</v>
      </c>
      <c r="S81" s="435">
        <v>0</v>
      </c>
      <c r="T81" s="435">
        <v>0</v>
      </c>
      <c r="U81" s="435">
        <v>0</v>
      </c>
      <c r="V81" s="435">
        <v>0</v>
      </c>
      <c r="W81" s="435">
        <v>0</v>
      </c>
      <c r="X81" s="436">
        <v>0</v>
      </c>
      <c r="Y81" s="434">
        <v>0</v>
      </c>
      <c r="Z81" s="435">
        <v>0</v>
      </c>
      <c r="AA81" s="435">
        <v>0</v>
      </c>
      <c r="AB81" s="435">
        <v>0</v>
      </c>
      <c r="AC81" s="436">
        <v>0</v>
      </c>
    </row>
    <row r="82" spans="1:29" ht="16.5" thickBot="1">
      <c r="A82" s="406" t="s">
        <v>37</v>
      </c>
      <c r="B82" s="407"/>
      <c r="C82" s="408"/>
      <c r="D82" s="50"/>
      <c r="E82" s="370">
        <f>(Calcoli!D247*E71)</f>
        <v>236.13598561693721</v>
      </c>
      <c r="F82" s="371">
        <f>(Calcoli!E247*F71)</f>
        <v>243.3711922162401</v>
      </c>
      <c r="G82" s="371">
        <f>(Calcoli!F247*G71)</f>
        <v>250.82808554574569</v>
      </c>
      <c r="H82" s="371">
        <f>(Calcoli!G247*H71)</f>
        <v>258.51345808686727</v>
      </c>
      <c r="I82" s="371">
        <f>(Calcoli!H247*I71)</f>
        <v>266.43431044264884</v>
      </c>
      <c r="J82" s="371">
        <f>(Calcoli!I247*J71)</f>
        <v>274.59785771461156</v>
      </c>
      <c r="K82" s="371">
        <f>(Calcoli!J247*K71)</f>
        <v>283.0115360749873</v>
      </c>
      <c r="L82" s="371">
        <f>(Calcoli!K247*L71)</f>
        <v>291.6830095403248</v>
      </c>
      <c r="M82" s="371">
        <f>(Calcoli!L247*M71)</f>
        <v>300.62017695264035</v>
      </c>
      <c r="N82" s="371">
        <f>(Calcoli!M247*N71)</f>
        <v>309.8311791744693</v>
      </c>
      <c r="O82" s="371">
        <f>(Calcoli!N247*O71)</f>
        <v>319.32440650437496</v>
      </c>
      <c r="P82" s="371">
        <f>(Calcoli!O247*P71)</f>
        <v>329.108506319669</v>
      </c>
      <c r="Q82" s="371">
        <f>(Calcoli!P247*Q71)</f>
        <v>339.19239095330357</v>
      </c>
      <c r="R82" s="371">
        <f>(Calcoli!Q247*R71)</f>
        <v>349.58524581211287</v>
      </c>
      <c r="S82" s="371">
        <f>(Calcoli!R247*S71)</f>
        <v>360.29653774379591</v>
      </c>
      <c r="T82" s="371">
        <f>(Calcoli!S247*T71)</f>
        <v>371.33602366026588</v>
      </c>
      <c r="U82" s="371">
        <f>(Calcoli!T247*U71)</f>
        <v>382.71375942521632</v>
      </c>
      <c r="V82" s="371">
        <f>(Calcoli!U247*V71)</f>
        <v>394.44010901400497</v>
      </c>
      <c r="W82" s="371">
        <f>(Calcoli!V247*W71)</f>
        <v>406.5257539541941</v>
      </c>
      <c r="X82" s="372">
        <f>(Calcoli!W247*X71)</f>
        <v>418.98170305535058</v>
      </c>
      <c r="Y82" s="370">
        <f>(Calcoli!X247*Y71)</f>
        <v>431.8193024369665</v>
      </c>
      <c r="Z82" s="371">
        <f>(Calcoli!Y247*Z71)</f>
        <v>445.0502458636351</v>
      </c>
      <c r="AA82" s="371">
        <f>(Calcoli!Z247*AA71)</f>
        <v>458.68658539689687</v>
      </c>
      <c r="AB82" s="371">
        <f>(Calcoli!AA247*AB71)</f>
        <v>472.74074237345775</v>
      </c>
      <c r="AC82" s="372">
        <f>(Calcoli!AB247*AC71)</f>
        <v>487.22551871978038</v>
      </c>
    </row>
    <row r="83" spans="1:29" ht="16.5" thickBot="1">
      <c r="A83" s="385" t="s">
        <v>139</v>
      </c>
      <c r="B83" s="386"/>
      <c r="C83" s="387"/>
      <c r="D83" s="50"/>
      <c r="E83" s="180">
        <f>SUM(E76:E82)</f>
        <v>955.0246655085748</v>
      </c>
      <c r="F83" s="181">
        <f t="shared" ref="F83:X83" si="24">SUM(F76:F82)</f>
        <v>955.78987398885306</v>
      </c>
      <c r="G83" s="181">
        <f t="shared" si="24"/>
        <v>956.834999182405</v>
      </c>
      <c r="H83" s="181">
        <f t="shared" si="24"/>
        <v>958.16630950079661</v>
      </c>
      <c r="I83" s="181">
        <f t="shared" si="24"/>
        <v>959.79028619385258</v>
      </c>
      <c r="J83" s="181">
        <f t="shared" si="24"/>
        <v>961.71362968405447</v>
      </c>
      <c r="K83" s="181">
        <f t="shared" si="24"/>
        <v>963.9432660967052</v>
      </c>
      <c r="L83" s="181">
        <f t="shared" si="24"/>
        <v>966.48635399184718</v>
      </c>
      <c r="M83" s="181">
        <f t="shared" si="24"/>
        <v>969.35029130409885</v>
      </c>
      <c r="N83" s="181">
        <f t="shared" si="24"/>
        <v>972.54272249676478</v>
      </c>
      <c r="O83" s="181">
        <f t="shared" si="24"/>
        <v>976.07154593676978</v>
      </c>
      <c r="P83" s="181">
        <f t="shared" si="24"/>
        <v>979.94492149717223</v>
      </c>
      <c r="Q83" s="181">
        <f t="shared" si="24"/>
        <v>984.17127839420914</v>
      </c>
      <c r="R83" s="181">
        <f t="shared" si="24"/>
        <v>988.75932326605039</v>
      </c>
      <c r="S83" s="181">
        <f t="shared" si="24"/>
        <v>993.71804850064791</v>
      </c>
      <c r="T83" s="181">
        <f t="shared" si="24"/>
        <v>999.056740820306</v>
      </c>
      <c r="U83" s="181">
        <f t="shared" si="24"/>
        <v>1004.7849901308161</v>
      </c>
      <c r="V83" s="181">
        <f t="shared" si="24"/>
        <v>1010.9126986432544</v>
      </c>
      <c r="W83" s="181">
        <f t="shared" si="24"/>
        <v>1017.4500902767803</v>
      </c>
      <c r="X83" s="181">
        <f t="shared" si="24"/>
        <v>1024.4077203510335</v>
      </c>
      <c r="Y83" s="180">
        <f t="shared" ref="Y83:AC83" si="25">SUM(Y76:Y82)</f>
        <v>762.63671150628352</v>
      </c>
      <c r="Z83" s="181">
        <f t="shared" si="25"/>
        <v>772.8902982513282</v>
      </c>
      <c r="AA83" s="181">
        <f t="shared" si="25"/>
        <v>783.57607731310077</v>
      </c>
      <c r="AB83" s="181">
        <f t="shared" si="25"/>
        <v>794.70622886241574</v>
      </c>
      <c r="AC83" s="182">
        <f t="shared" si="25"/>
        <v>806.29331583033775</v>
      </c>
    </row>
    <row r="84" spans="1:29" ht="11.25" customHeight="1" thickBot="1">
      <c r="A84" s="52"/>
      <c r="B84" s="50"/>
      <c r="C84" s="50"/>
      <c r="D84" s="5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369"/>
      <c r="Z84" s="369"/>
      <c r="AA84" s="369"/>
      <c r="AB84" s="369"/>
      <c r="AC84" s="369"/>
    </row>
    <row r="85" spans="1:29" ht="15.75">
      <c r="A85" s="379" t="s">
        <v>88</v>
      </c>
      <c r="B85" s="380"/>
      <c r="C85" s="388"/>
      <c r="D85" s="50"/>
      <c r="E85" s="348">
        <f>IF(Calcoli!$I$72=TRUE,Calcoli!D88,0)</f>
        <v>0</v>
      </c>
      <c r="F85" s="349">
        <f>IF(Calcoli!$I$72=TRUE,Calcoli!E88,0)</f>
        <v>0</v>
      </c>
      <c r="G85" s="349">
        <f>IF(Calcoli!$I$72=TRUE,Calcoli!F88,0)</f>
        <v>0</v>
      </c>
      <c r="H85" s="349">
        <f>IF(Calcoli!$I$72=TRUE,Calcoli!G88,0)</f>
        <v>0</v>
      </c>
      <c r="I85" s="349">
        <f>IF(Calcoli!$I$72=TRUE,Calcoli!H88,0)</f>
        <v>0</v>
      </c>
      <c r="J85" s="349">
        <f>IF(Calcoli!$I$72=TRUE,Calcoli!I88,0)</f>
        <v>0</v>
      </c>
      <c r="K85" s="349">
        <f>IF(Calcoli!$I$72=TRUE,Calcoli!J88,0)</f>
        <v>0</v>
      </c>
      <c r="L85" s="349">
        <f>IF(Calcoli!$I$72=TRUE,Calcoli!K88,0)</f>
        <v>0</v>
      </c>
      <c r="M85" s="349">
        <f>IF(Calcoli!$I$72=TRUE,Calcoli!L88,0)</f>
        <v>0</v>
      </c>
      <c r="N85" s="349">
        <f>IF(Calcoli!$I$72=TRUE,Calcoli!M88,0)</f>
        <v>0</v>
      </c>
      <c r="O85" s="349">
        <f>IF(Calcoli!$I$72=TRUE,Calcoli!N88,0)</f>
        <v>0</v>
      </c>
      <c r="P85" s="349">
        <f>IF(Calcoli!$I$72=TRUE,Calcoli!O88,0)</f>
        <v>0</v>
      </c>
      <c r="Q85" s="349">
        <f>IF(Calcoli!$I$72=TRUE,Calcoli!P88,0)</f>
        <v>0</v>
      </c>
      <c r="R85" s="349">
        <f>IF(Calcoli!$I$72=TRUE,Calcoli!Q88,0)</f>
        <v>0</v>
      </c>
      <c r="S85" s="349">
        <f>IF(Calcoli!$I$72=TRUE,Calcoli!R88,0)</f>
        <v>0</v>
      </c>
      <c r="T85" s="349">
        <f>IF(Calcoli!$I$72=TRUE,Calcoli!S88,0)</f>
        <v>0</v>
      </c>
      <c r="U85" s="349">
        <f>IF(Calcoli!$I$72=TRUE,Calcoli!T88,0)</f>
        <v>0</v>
      </c>
      <c r="V85" s="349">
        <f>IF(Calcoli!$I$72=TRUE,Calcoli!U88,0)</f>
        <v>0</v>
      </c>
      <c r="W85" s="349">
        <f>IF(Calcoli!$I$72=TRUE,Calcoli!V88,0)</f>
        <v>0</v>
      </c>
      <c r="X85" s="349">
        <f>IF(Calcoli!$I$72=TRUE,Calcoli!W88,0)</f>
        <v>0</v>
      </c>
      <c r="Y85" s="348">
        <f>IF(Calcoli!$I$72=TRUE,Calcoli!X88,0)</f>
        <v>0</v>
      </c>
      <c r="Z85" s="349">
        <f>IF(Calcoli!$I$72=TRUE,Calcoli!Y88,0)</f>
        <v>0</v>
      </c>
      <c r="AA85" s="349">
        <f>IF(Calcoli!$I$72=TRUE,Calcoli!Z88,0)</f>
        <v>0</v>
      </c>
      <c r="AB85" s="349">
        <f>IF(Calcoli!$I$72=TRUE,Calcoli!AA88,0)</f>
        <v>0</v>
      </c>
      <c r="AC85" s="350">
        <f>IF(Calcoli!$I$72=TRUE,Calcoli!AB88,0)</f>
        <v>0</v>
      </c>
    </row>
    <row r="86" spans="1:29" ht="15.75">
      <c r="A86" s="381" t="s">
        <v>115</v>
      </c>
      <c r="B86" s="382"/>
      <c r="C86" s="389"/>
      <c r="D86" s="50"/>
      <c r="E86" s="351">
        <f>IF(Calcoli!$L$72=FALSE,Calcoli!D68,0)</f>
        <v>0</v>
      </c>
      <c r="F86" s="345">
        <f>IF(Calcoli!$L$72=FALSE,Calcoli!E68,0)</f>
        <v>0</v>
      </c>
      <c r="G86" s="345">
        <f>IF(Calcoli!$L$72=FALSE,Calcoli!F68,0)</f>
        <v>0</v>
      </c>
      <c r="H86" s="345">
        <f>IF(Calcoli!$L$72=FALSE,Calcoli!G68,0)</f>
        <v>0</v>
      </c>
      <c r="I86" s="345">
        <f>IF(Calcoli!$L$72=FALSE,Calcoli!H68,0)</f>
        <v>0</v>
      </c>
      <c r="J86" s="345">
        <f>IF(Calcoli!$L$72=FALSE,Calcoli!I68,0)</f>
        <v>0</v>
      </c>
      <c r="K86" s="345">
        <f>IF(Calcoli!$L$72=FALSE,Calcoli!J68,0)</f>
        <v>0</v>
      </c>
      <c r="L86" s="345">
        <f>IF(Calcoli!$L$72=FALSE,Calcoli!K68,0)</f>
        <v>0</v>
      </c>
      <c r="M86" s="345">
        <f>IF(Calcoli!$L$72=FALSE,Calcoli!L68,0)</f>
        <v>0</v>
      </c>
      <c r="N86" s="345">
        <f>IF(Calcoli!$L$72=FALSE,Calcoli!M68,0)</f>
        <v>0</v>
      </c>
      <c r="O86" s="345">
        <f>IF(Calcoli!$L$72=FALSE,Calcoli!N68,0)</f>
        <v>0</v>
      </c>
      <c r="P86" s="345">
        <f>IF(Calcoli!$L$72=FALSE,Calcoli!O68,0)</f>
        <v>0</v>
      </c>
      <c r="Q86" s="345">
        <f>IF(Calcoli!$L$72=FALSE,Calcoli!P68,0)</f>
        <v>0</v>
      </c>
      <c r="R86" s="345">
        <f>IF(Calcoli!$L$72=FALSE,Calcoli!Q68,0)</f>
        <v>0</v>
      </c>
      <c r="S86" s="345">
        <f>IF(Calcoli!$L$72=FALSE,Calcoli!R68,0)</f>
        <v>0</v>
      </c>
      <c r="T86" s="345">
        <f>IF(Calcoli!$L$72=FALSE,Calcoli!S68,0)</f>
        <v>0</v>
      </c>
      <c r="U86" s="345">
        <f>IF(Calcoli!$L$72=FALSE,Calcoli!T68,0)</f>
        <v>0</v>
      </c>
      <c r="V86" s="345">
        <f>IF(Calcoli!$L$72=FALSE,Calcoli!U68,0)</f>
        <v>0</v>
      </c>
      <c r="W86" s="345">
        <f>IF(Calcoli!$L$72=FALSE,Calcoli!V68,0)</f>
        <v>0</v>
      </c>
      <c r="X86" s="345">
        <f>IF(Calcoli!$L$72=FALSE,Calcoli!W68,0)</f>
        <v>0</v>
      </c>
      <c r="Y86" s="351">
        <f>IF(Calcoli!$L$72=FALSE,Calcoli!X68,0)</f>
        <v>0</v>
      </c>
      <c r="Z86" s="345">
        <f>IF(Calcoli!$L$72=FALSE,Calcoli!Y68,0)</f>
        <v>0</v>
      </c>
      <c r="AA86" s="345">
        <f>IF(Calcoli!$L$72=FALSE,Calcoli!Z68,0)</f>
        <v>0</v>
      </c>
      <c r="AB86" s="345">
        <f>IF(Calcoli!$L$72=FALSE,Calcoli!AA68,0)</f>
        <v>0</v>
      </c>
      <c r="AC86" s="352">
        <f>IF(Calcoli!$L$72=FALSE,Calcoli!AB68,0)</f>
        <v>0</v>
      </c>
    </row>
    <row r="87" spans="1:29" ht="15.75">
      <c r="A87" s="381" t="s">
        <v>86</v>
      </c>
      <c r="B87" s="382"/>
      <c r="C87" s="389"/>
      <c r="D87" s="50"/>
      <c r="E87" s="353">
        <f>IF(Calcoli!$I$76=TRUE,Calcoli!D111,0)</f>
        <v>0</v>
      </c>
      <c r="F87" s="344">
        <f>IF(Calcoli!$I$76=TRUE,Calcoli!E111,0)</f>
        <v>0</v>
      </c>
      <c r="G87" s="344">
        <f>IF(Calcoli!$I$76=TRUE,Calcoli!F111,0)</f>
        <v>0</v>
      </c>
      <c r="H87" s="344">
        <f>IF(Calcoli!$I$76=TRUE,Calcoli!G111,0)</f>
        <v>0</v>
      </c>
      <c r="I87" s="344">
        <f>IF(Calcoli!$I$76=TRUE,Calcoli!H111,0)</f>
        <v>0</v>
      </c>
      <c r="J87" s="344">
        <f>IF(Calcoli!$I$76=TRUE,Calcoli!I111,0)</f>
        <v>0</v>
      </c>
      <c r="K87" s="344">
        <f>IF(Calcoli!$I$76=TRUE,Calcoli!J111,0)</f>
        <v>0</v>
      </c>
      <c r="L87" s="344">
        <f>IF(Calcoli!$I$76=TRUE,Calcoli!K111,0)</f>
        <v>0</v>
      </c>
      <c r="M87" s="344">
        <f>IF(Calcoli!$I$76=TRUE,Calcoli!L111,0)</f>
        <v>0</v>
      </c>
      <c r="N87" s="344">
        <f>IF(Calcoli!$I$76=TRUE,Calcoli!M111,0)</f>
        <v>0</v>
      </c>
      <c r="O87" s="344">
        <f>IF(Calcoli!$I$76=TRUE,Calcoli!N111,0)</f>
        <v>0</v>
      </c>
      <c r="P87" s="344">
        <f>IF(Calcoli!$I$76=TRUE,Calcoli!O111,0)</f>
        <v>0</v>
      </c>
      <c r="Q87" s="344">
        <f>IF(Calcoli!$I$76=TRUE,Calcoli!P111,0)</f>
        <v>0</v>
      </c>
      <c r="R87" s="344">
        <f>IF(Calcoli!$I$76=TRUE,Calcoli!Q111,0)</f>
        <v>0</v>
      </c>
      <c r="S87" s="344">
        <f>IF(Calcoli!$I$76=TRUE,Calcoli!R111,0)</f>
        <v>0</v>
      </c>
      <c r="T87" s="344">
        <f>IF(Calcoli!$I$76=TRUE,Calcoli!S111,0)</f>
        <v>0</v>
      </c>
      <c r="U87" s="344">
        <f>IF(Calcoli!$I$76=TRUE,Calcoli!T111,0)</f>
        <v>0</v>
      </c>
      <c r="V87" s="344">
        <f>IF(Calcoli!$I$76=TRUE,Calcoli!U111,0)</f>
        <v>0</v>
      </c>
      <c r="W87" s="344">
        <f>IF(Calcoli!$I$76=TRUE,Calcoli!V111,0)</f>
        <v>0</v>
      </c>
      <c r="X87" s="344">
        <f>IF(Calcoli!$I$76=TRUE,Calcoli!W111,0)</f>
        <v>0</v>
      </c>
      <c r="Y87" s="353">
        <f>IF(Calcoli!$I$76=TRUE,Calcoli!X111,0)</f>
        <v>0</v>
      </c>
      <c r="Z87" s="344">
        <f>IF(Calcoli!$I$76=TRUE,Calcoli!Y111,0)</f>
        <v>0</v>
      </c>
      <c r="AA87" s="344">
        <f>IF(Calcoli!$I$76=TRUE,Calcoli!Z111,0)</f>
        <v>0</v>
      </c>
      <c r="AB87" s="344">
        <f>IF(Calcoli!$I$76=TRUE,Calcoli!AA111,0)</f>
        <v>0</v>
      </c>
      <c r="AC87" s="354">
        <f>IF(Calcoli!$I$76=TRUE,Calcoli!AB111,0)</f>
        <v>0</v>
      </c>
    </row>
    <row r="88" spans="1:29" ht="15.75">
      <c r="A88" s="381" t="s">
        <v>114</v>
      </c>
      <c r="B88" s="382"/>
      <c r="C88" s="389"/>
      <c r="D88" s="50"/>
      <c r="E88" s="355">
        <f>IF(Calcoli!$I$78=TRUE,E86/100*$K$21,0)</f>
        <v>0</v>
      </c>
      <c r="F88" s="346">
        <f>IF(Calcoli!$I$78=TRUE,F86/100*$K$21,0)</f>
        <v>0</v>
      </c>
      <c r="G88" s="346">
        <f>IF(Calcoli!$I$78=TRUE,G86/100*$K$21,0)</f>
        <v>0</v>
      </c>
      <c r="H88" s="346">
        <f>IF(Calcoli!$I$78=TRUE,H86/100*$K$21,0)</f>
        <v>0</v>
      </c>
      <c r="I88" s="346">
        <f>IF(Calcoli!$I$78=TRUE,I86/100*$K$21,0)</f>
        <v>0</v>
      </c>
      <c r="J88" s="346">
        <f>IF(Calcoli!$I$78=TRUE,J86/100*$K$21,0)</f>
        <v>0</v>
      </c>
      <c r="K88" s="346">
        <f>IF(Calcoli!$I$78=TRUE,K86/100*$K$21,0)</f>
        <v>0</v>
      </c>
      <c r="L88" s="346">
        <f>IF(Calcoli!$I$78=TRUE,L86/100*$K$21,0)</f>
        <v>0</v>
      </c>
      <c r="M88" s="346">
        <f>IF(Calcoli!$I$78=TRUE,M86/100*$K$21,0)</f>
        <v>0</v>
      </c>
      <c r="N88" s="346">
        <f>IF(Calcoli!$I$78=TRUE,N86/100*$K$21,0)</f>
        <v>0</v>
      </c>
      <c r="O88" s="346">
        <f>IF(Calcoli!$I$78=TRUE,O86/100*$K$21,0)</f>
        <v>0</v>
      </c>
      <c r="P88" s="346">
        <f>IF(Calcoli!$I$78=TRUE,P86/100*$K$21,0)</f>
        <v>0</v>
      </c>
      <c r="Q88" s="346">
        <f>IF(Calcoli!$I$78=TRUE,Q86/100*$K$21,0)</f>
        <v>0</v>
      </c>
      <c r="R88" s="346">
        <f>IF(Calcoli!$I$78=TRUE,R86/100*$K$21,0)</f>
        <v>0</v>
      </c>
      <c r="S88" s="346">
        <f>IF(Calcoli!$I$78=TRUE,S86/100*$K$21,0)</f>
        <v>0</v>
      </c>
      <c r="T88" s="346">
        <f>IF(Calcoli!$I$78=TRUE,T86/100*$K$21,0)</f>
        <v>0</v>
      </c>
      <c r="U88" s="346">
        <f>IF(Calcoli!$I$78=TRUE,U86/100*$K$21,0)</f>
        <v>0</v>
      </c>
      <c r="V88" s="346">
        <f>IF(Calcoli!$I$78=TRUE,V86/100*$K$21,0)</f>
        <v>0</v>
      </c>
      <c r="W88" s="346">
        <f>IF(Calcoli!$I$78=TRUE,W86/100*$K$21,0)</f>
        <v>0</v>
      </c>
      <c r="X88" s="346">
        <f>IF(Calcoli!$I$78=TRUE,X86/100*$K$21,0)</f>
        <v>0</v>
      </c>
      <c r="Y88" s="355">
        <f>IF(Calcoli!$I$78=TRUE,Y86/100*$K$21,0)</f>
        <v>0</v>
      </c>
      <c r="Z88" s="346">
        <f>IF(Calcoli!$I$78=TRUE,Z86/100*$K$21,0)</f>
        <v>0</v>
      </c>
      <c r="AA88" s="346">
        <f>IF(Calcoli!$I$78=TRUE,AA86/100*$K$21,0)</f>
        <v>0</v>
      </c>
      <c r="AB88" s="346">
        <f>IF(Calcoli!$I$78=TRUE,AB86/100*$K$21,0)</f>
        <v>0</v>
      </c>
      <c r="AC88" s="356">
        <f>IF(Calcoli!$I$78=TRUE,AC86/100*$K$21,0)</f>
        <v>0</v>
      </c>
    </row>
    <row r="89" spans="1:29" ht="15.75">
      <c r="A89" s="381" t="s">
        <v>87</v>
      </c>
      <c r="B89" s="382"/>
      <c r="C89" s="389"/>
      <c r="D89" s="50"/>
      <c r="E89" s="353">
        <f>IF(Calcoli!$I$74=TRUE,E86/100*$K$19,0)</f>
        <v>0</v>
      </c>
      <c r="F89" s="344">
        <f>IF(Calcoli!$I$74=TRUE,F86/100*$K$19,0)</f>
        <v>0</v>
      </c>
      <c r="G89" s="344">
        <f>IF(Calcoli!$I$74=TRUE,G86/100*$K$19,0)</f>
        <v>0</v>
      </c>
      <c r="H89" s="344">
        <f>IF(Calcoli!$I$74=TRUE,H86/100*$K$19,0)</f>
        <v>0</v>
      </c>
      <c r="I89" s="344">
        <f>IF(Calcoli!$I$74=TRUE,I86/100*$K$19,0)</f>
        <v>0</v>
      </c>
      <c r="J89" s="344">
        <f>IF(Calcoli!$I$74=TRUE,J86/100*$K$19,0)</f>
        <v>0</v>
      </c>
      <c r="K89" s="344">
        <f>IF(Calcoli!$I$74=TRUE,K86/100*$K$19,0)</f>
        <v>0</v>
      </c>
      <c r="L89" s="344">
        <f>IF(Calcoli!$I$74=TRUE,L86/100*$K$19,0)</f>
        <v>0</v>
      </c>
      <c r="M89" s="344">
        <f>IF(Calcoli!$I$74=TRUE,M86/100*$K$19,0)</f>
        <v>0</v>
      </c>
      <c r="N89" s="344">
        <f>IF(Calcoli!$I$74=TRUE,N86/100*$K$19,0)</f>
        <v>0</v>
      </c>
      <c r="O89" s="344">
        <f>IF(Calcoli!$I$74=TRUE,O86/100*$K$19,0)</f>
        <v>0</v>
      </c>
      <c r="P89" s="344">
        <f>IF(Calcoli!$I$74=TRUE,P86/100*$K$19,0)</f>
        <v>0</v>
      </c>
      <c r="Q89" s="344">
        <f>IF(Calcoli!$I$74=TRUE,Q86/100*$K$19,0)</f>
        <v>0</v>
      </c>
      <c r="R89" s="344">
        <f>IF(Calcoli!$I$74=TRUE,R86/100*$K$19,0)</f>
        <v>0</v>
      </c>
      <c r="S89" s="344">
        <f>IF(Calcoli!$I$74=TRUE,S86/100*$K$19,0)</f>
        <v>0</v>
      </c>
      <c r="T89" s="344">
        <f>IF(Calcoli!$I$74=TRUE,T86/100*$K$19,0)</f>
        <v>0</v>
      </c>
      <c r="U89" s="344">
        <f>IF(Calcoli!$I$74=TRUE,U86/100*$K$19,0)</f>
        <v>0</v>
      </c>
      <c r="V89" s="344">
        <f>IF(Calcoli!$I$74=TRUE,V86/100*$K$19,0)</f>
        <v>0</v>
      </c>
      <c r="W89" s="344">
        <f>IF(Calcoli!$I$74=TRUE,W86/100*$K$19,0)</f>
        <v>0</v>
      </c>
      <c r="X89" s="344">
        <f>IF(Calcoli!$I$74=TRUE,X86/100*$K$19,0)</f>
        <v>0</v>
      </c>
      <c r="Y89" s="353">
        <f>IF(Calcoli!$I$74=TRUE,Y86/100*$K$19,0)</f>
        <v>0</v>
      </c>
      <c r="Z89" s="344">
        <f>IF(Calcoli!$I$74=TRUE,Z86/100*$K$19,0)</f>
        <v>0</v>
      </c>
      <c r="AA89" s="344">
        <f>IF(Calcoli!$I$74=TRUE,AA86/100*$K$19,0)</f>
        <v>0</v>
      </c>
      <c r="AB89" s="344">
        <f>IF(Calcoli!$I$74=TRUE,AB86/100*$K$19,0)</f>
        <v>0</v>
      </c>
      <c r="AC89" s="354">
        <f>IF(Calcoli!$I$74=TRUE,AC86/100*$K$19,0)</f>
        <v>0</v>
      </c>
    </row>
    <row r="90" spans="1:29" ht="15.75">
      <c r="A90" s="381" t="s">
        <v>181</v>
      </c>
      <c r="B90" s="382"/>
      <c r="C90" s="389"/>
      <c r="D90" s="50"/>
      <c r="E90" s="355">
        <f>IF(E100&lt;=$C$48,Finanziamento!J9,0)</f>
        <v>0</v>
      </c>
      <c r="F90" s="346">
        <f>IF(F100&lt;=$C$48,Finanziamento!K9,0)</f>
        <v>0</v>
      </c>
      <c r="G90" s="346">
        <f>IF(G100&lt;=$C$48,Finanziamento!L9,0)</f>
        <v>0</v>
      </c>
      <c r="H90" s="346">
        <f>IF(H100&lt;=$C$48,Finanziamento!M9,0)</f>
        <v>0</v>
      </c>
      <c r="I90" s="346">
        <f>IF(I100&lt;=$C$48,Finanziamento!N9,0)</f>
        <v>0</v>
      </c>
      <c r="J90" s="346">
        <f>IF(J100&lt;=$C$48,Finanziamento!O9,0)</f>
        <v>0</v>
      </c>
      <c r="K90" s="346">
        <f>IF(K100&lt;=$C$48,Finanziamento!P9,0)</f>
        <v>0</v>
      </c>
      <c r="L90" s="346">
        <f>IF(L100&lt;=$C$48,Finanziamento!Q9,0)</f>
        <v>0</v>
      </c>
      <c r="M90" s="346">
        <f>IF(M100&lt;=$C$48,Finanziamento!R9,0)</f>
        <v>0</v>
      </c>
      <c r="N90" s="346">
        <f>IF(N100&lt;=$C$48,Finanziamento!S9,0)</f>
        <v>0</v>
      </c>
      <c r="O90" s="346">
        <f>IF(O100&lt;=$C$48,Finanziamento!T9,0)</f>
        <v>0</v>
      </c>
      <c r="P90" s="346">
        <f>IF(P100&lt;=$C$48,Finanziamento!U9,0)</f>
        <v>0</v>
      </c>
      <c r="Q90" s="346">
        <f>IF(Q100&lt;=$C$48,Finanziamento!V9,0)</f>
        <v>0</v>
      </c>
      <c r="R90" s="346">
        <f>IF(R100&lt;=$C$48,Finanziamento!W9,0)</f>
        <v>0</v>
      </c>
      <c r="S90" s="346">
        <f>IF(S100&lt;=$C$48,Finanziamento!X9,0)</f>
        <v>0</v>
      </c>
      <c r="T90" s="346">
        <f>IF(T100&lt;=$C$48,Finanziamento!Y9,0)</f>
        <v>0</v>
      </c>
      <c r="U90" s="346">
        <f>IF(U100&lt;=$C$48,Finanziamento!Z9,0)</f>
        <v>0</v>
      </c>
      <c r="V90" s="346">
        <f>IF(V100&lt;=$C$48,Finanziamento!AA9,0)</f>
        <v>0</v>
      </c>
      <c r="W90" s="346">
        <f>IF(W100&lt;=$C$48,Finanziamento!AB9,0)</f>
        <v>0</v>
      </c>
      <c r="X90" s="346">
        <f>IF(X100&lt;=$C$48,Finanziamento!AC9,0)</f>
        <v>0</v>
      </c>
      <c r="Y90" s="355">
        <f>IF(Y100&lt;=$C$48,Finanziamento!AD9,0)</f>
        <v>0</v>
      </c>
      <c r="Z90" s="346">
        <f>IF(Z100&lt;=$C$48,Finanziamento!AE9,0)</f>
        <v>0</v>
      </c>
      <c r="AA90" s="346">
        <f>IF(AA100&lt;=$C$48,Finanziamento!AF9,0)</f>
        <v>0</v>
      </c>
      <c r="AB90" s="346">
        <f>IF(AB100&lt;=$C$48,Finanziamento!AG9,0)</f>
        <v>0</v>
      </c>
      <c r="AC90" s="356">
        <f>IF(AC100&lt;=$C$48,Finanziamento!AH9,0)</f>
        <v>0</v>
      </c>
    </row>
    <row r="91" spans="1:29" ht="15.75">
      <c r="A91" s="383" t="s">
        <v>208</v>
      </c>
      <c r="B91" s="384"/>
      <c r="C91" s="391"/>
      <c r="D91" s="50"/>
      <c r="E91" s="357">
        <f>$C$52</f>
        <v>25</v>
      </c>
      <c r="F91" s="347">
        <f t="shared" ref="F91:AC91" si="26">$C$52</f>
        <v>25</v>
      </c>
      <c r="G91" s="347">
        <f t="shared" si="26"/>
        <v>25</v>
      </c>
      <c r="H91" s="347">
        <f t="shared" si="26"/>
        <v>25</v>
      </c>
      <c r="I91" s="347">
        <f t="shared" si="26"/>
        <v>25</v>
      </c>
      <c r="J91" s="347">
        <f t="shared" si="26"/>
        <v>25</v>
      </c>
      <c r="K91" s="347">
        <f t="shared" si="26"/>
        <v>25</v>
      </c>
      <c r="L91" s="347">
        <f t="shared" si="26"/>
        <v>25</v>
      </c>
      <c r="M91" s="347">
        <f t="shared" si="26"/>
        <v>25</v>
      </c>
      <c r="N91" s="347">
        <f t="shared" si="26"/>
        <v>25</v>
      </c>
      <c r="O91" s="347">
        <f t="shared" si="26"/>
        <v>25</v>
      </c>
      <c r="P91" s="347">
        <f t="shared" si="26"/>
        <v>25</v>
      </c>
      <c r="Q91" s="347">
        <f t="shared" si="26"/>
        <v>25</v>
      </c>
      <c r="R91" s="347">
        <f t="shared" si="26"/>
        <v>25</v>
      </c>
      <c r="S91" s="347">
        <f t="shared" si="26"/>
        <v>25</v>
      </c>
      <c r="T91" s="347">
        <f t="shared" si="26"/>
        <v>25</v>
      </c>
      <c r="U91" s="347">
        <f t="shared" si="26"/>
        <v>25</v>
      </c>
      <c r="V91" s="347">
        <f t="shared" si="26"/>
        <v>25</v>
      </c>
      <c r="W91" s="347">
        <f t="shared" si="26"/>
        <v>25</v>
      </c>
      <c r="X91" s="347">
        <f t="shared" si="26"/>
        <v>25</v>
      </c>
      <c r="Y91" s="357">
        <f t="shared" si="26"/>
        <v>25</v>
      </c>
      <c r="Z91" s="347">
        <f t="shared" si="26"/>
        <v>25</v>
      </c>
      <c r="AA91" s="347">
        <f t="shared" si="26"/>
        <v>25</v>
      </c>
      <c r="AB91" s="347">
        <f t="shared" si="26"/>
        <v>25</v>
      </c>
      <c r="AC91" s="358">
        <f t="shared" si="26"/>
        <v>25</v>
      </c>
    </row>
    <row r="92" spans="1:29" ht="15.75">
      <c r="A92" s="383" t="s">
        <v>207</v>
      </c>
      <c r="B92" s="384"/>
      <c r="C92" s="391"/>
      <c r="D92" s="50"/>
      <c r="E92" s="357">
        <f>IF(Calcoli!O131=1,$C$51,0)</f>
        <v>0</v>
      </c>
      <c r="F92" s="347">
        <f>IF(Calcoli!P131=1,$C$51,0)</f>
        <v>0</v>
      </c>
      <c r="G92" s="347">
        <f>IF(Calcoli!Q131=1,$C$51,0)</f>
        <v>0</v>
      </c>
      <c r="H92" s="347">
        <f>IF(Calcoli!R131=1,$C$51,0)</f>
        <v>0</v>
      </c>
      <c r="I92" s="347">
        <f>IF(Calcoli!S131=1,$C$51,0)</f>
        <v>0</v>
      </c>
      <c r="J92" s="347">
        <f>IF(Calcoli!T131=1,$C$51,0)</f>
        <v>0</v>
      </c>
      <c r="K92" s="347">
        <f>IF(Calcoli!U131=1,$C$51,0)</f>
        <v>0</v>
      </c>
      <c r="L92" s="347">
        <f>IF(Calcoli!V131=1,$C$51,0)</f>
        <v>0</v>
      </c>
      <c r="M92" s="347">
        <f>IF(Calcoli!W131=1,$C$51,0)</f>
        <v>0</v>
      </c>
      <c r="N92" s="347">
        <f>IF(Calcoli!X131=1,$C$51,0)</f>
        <v>250</v>
      </c>
      <c r="O92" s="347">
        <f>IF(Calcoli!Y131=1,$C$51,0)</f>
        <v>0</v>
      </c>
      <c r="P92" s="347">
        <f>IF(Calcoli!Z131=1,$C$51,0)</f>
        <v>0</v>
      </c>
      <c r="Q92" s="347">
        <f>IF(Calcoli!AA131=1,$C$51,0)</f>
        <v>0</v>
      </c>
      <c r="R92" s="347">
        <f>IF(Calcoli!AB131=1,$C$51,0)</f>
        <v>0</v>
      </c>
      <c r="S92" s="347">
        <f>IF(Calcoli!AC131=1,$C$51,0)</f>
        <v>0</v>
      </c>
      <c r="T92" s="347">
        <f>IF(Calcoli!AD131=1,$C$51,0)</f>
        <v>0</v>
      </c>
      <c r="U92" s="347">
        <f>IF(Calcoli!AE131=1,$C$51,0)</f>
        <v>0</v>
      </c>
      <c r="V92" s="347">
        <f>IF(Calcoli!AF131=1,$C$51,0)</f>
        <v>0</v>
      </c>
      <c r="W92" s="347">
        <f>IF(Calcoli!AG131=1,$C$51,0)</f>
        <v>0</v>
      </c>
      <c r="X92" s="347">
        <f>IF(Calcoli!AH131=1,$C$51,0)</f>
        <v>250</v>
      </c>
      <c r="Y92" s="357">
        <f>IF(Calcoli!AI131=1,$C$51,0)</f>
        <v>0</v>
      </c>
      <c r="Z92" s="347">
        <f>IF(Calcoli!AJ131=1,$C$51,0)</f>
        <v>0</v>
      </c>
      <c r="AA92" s="347">
        <f>IF(Calcoli!AK131=1,$C$51,0)</f>
        <v>0</v>
      </c>
      <c r="AB92" s="347">
        <f>IF(Calcoli!AL131=1,$C$51,0)</f>
        <v>0</v>
      </c>
      <c r="AC92" s="358">
        <f>IF(Calcoli!AM131=1,$C$51,0)</f>
        <v>0</v>
      </c>
    </row>
    <row r="93" spans="1:29" ht="15.75">
      <c r="A93" s="383" t="s">
        <v>79</v>
      </c>
      <c r="B93" s="384"/>
      <c r="C93" s="391"/>
      <c r="D93" s="50"/>
      <c r="E93" s="357">
        <f>IF(Calcoli!$D$1&lt;6,C54,0)</f>
        <v>9</v>
      </c>
      <c r="F93" s="347">
        <v>0</v>
      </c>
      <c r="G93" s="347">
        <v>0</v>
      </c>
      <c r="H93" s="347">
        <v>0</v>
      </c>
      <c r="I93" s="347">
        <v>0</v>
      </c>
      <c r="J93" s="347">
        <v>0</v>
      </c>
      <c r="K93" s="347">
        <v>0</v>
      </c>
      <c r="L93" s="347">
        <v>0</v>
      </c>
      <c r="M93" s="347">
        <v>0</v>
      </c>
      <c r="N93" s="347">
        <v>0</v>
      </c>
      <c r="O93" s="347">
        <v>0</v>
      </c>
      <c r="P93" s="347">
        <v>0</v>
      </c>
      <c r="Q93" s="347">
        <v>0</v>
      </c>
      <c r="R93" s="347">
        <v>0</v>
      </c>
      <c r="S93" s="347">
        <v>0</v>
      </c>
      <c r="T93" s="347">
        <v>0</v>
      </c>
      <c r="U93" s="347">
        <v>0</v>
      </c>
      <c r="V93" s="347">
        <v>0</v>
      </c>
      <c r="W93" s="347">
        <v>0</v>
      </c>
      <c r="X93" s="347">
        <v>0</v>
      </c>
      <c r="Y93" s="357">
        <v>0</v>
      </c>
      <c r="Z93" s="347">
        <v>0</v>
      </c>
      <c r="AA93" s="347">
        <v>0</v>
      </c>
      <c r="AB93" s="347">
        <v>0</v>
      </c>
      <c r="AC93" s="358">
        <v>0</v>
      </c>
    </row>
    <row r="94" spans="1:29" ht="15.75">
      <c r="A94" s="383" t="s">
        <v>78</v>
      </c>
      <c r="B94" s="384"/>
      <c r="C94" s="391"/>
      <c r="D94" s="50"/>
      <c r="E94" s="357">
        <f>IF(Calcoli!$D$1&lt;6,$C$55,0)</f>
        <v>1.8</v>
      </c>
      <c r="F94" s="347">
        <f>IF(Calcoli!$D$1&lt;6,$C$55,0)</f>
        <v>1.8</v>
      </c>
      <c r="G94" s="347">
        <f>IF(Calcoli!$D$1&lt;6,$C$55,0)</f>
        <v>1.8</v>
      </c>
      <c r="H94" s="347">
        <f>IF(Calcoli!$D$1&lt;6,$C$55,0)</f>
        <v>1.8</v>
      </c>
      <c r="I94" s="347">
        <f>IF(Calcoli!$D$1&lt;6,$C$55,0)</f>
        <v>1.8</v>
      </c>
      <c r="J94" s="347">
        <f>IF(Calcoli!$D$1&lt;6,$C$55,0)</f>
        <v>1.8</v>
      </c>
      <c r="K94" s="347">
        <f>IF(Calcoli!$D$1&lt;6,$C$55,0)</f>
        <v>1.8</v>
      </c>
      <c r="L94" s="347">
        <f>IF(Calcoli!$D$1&lt;6,$C$55,0)</f>
        <v>1.8</v>
      </c>
      <c r="M94" s="347">
        <f>IF(Calcoli!$D$1&lt;6,$C$55,0)</f>
        <v>1.8</v>
      </c>
      <c r="N94" s="347">
        <f>IF(Calcoli!$D$1&lt;6,$C$55,0)</f>
        <v>1.8</v>
      </c>
      <c r="O94" s="347">
        <f>IF(Calcoli!$D$1&lt;6,$C$55,0)</f>
        <v>1.8</v>
      </c>
      <c r="P94" s="347">
        <f>IF(Calcoli!$D$1&lt;6,$C$55,0)</f>
        <v>1.8</v>
      </c>
      <c r="Q94" s="347">
        <f>IF(Calcoli!$D$1&lt;6,$C$55,0)</f>
        <v>1.8</v>
      </c>
      <c r="R94" s="347">
        <f>IF(Calcoli!$D$1&lt;6,$C$55,0)</f>
        <v>1.8</v>
      </c>
      <c r="S94" s="347">
        <f>IF(Calcoli!$D$1&lt;6,$C$55,0)</f>
        <v>1.8</v>
      </c>
      <c r="T94" s="347">
        <f>IF(Calcoli!$D$1&lt;6,$C$55,0)</f>
        <v>1.8</v>
      </c>
      <c r="U94" s="347">
        <f>IF(Calcoli!$D$1&lt;6,$C$55,0)</f>
        <v>1.8</v>
      </c>
      <c r="V94" s="347">
        <f>IF(Calcoli!$D$1&lt;6,$C$55,0)</f>
        <v>1.8</v>
      </c>
      <c r="W94" s="347">
        <f>IF(Calcoli!$D$1&lt;6,$C$55,0)</f>
        <v>1.8</v>
      </c>
      <c r="X94" s="347">
        <f>IF(Calcoli!$D$1&lt;6,$C$55,0)</f>
        <v>1.8</v>
      </c>
      <c r="Y94" s="357">
        <f>IF(Calcoli!$D$1&lt;6,$C$55,0)</f>
        <v>1.8</v>
      </c>
      <c r="Z94" s="347">
        <f>IF(Calcoli!$D$1&lt;6,$C$55,0)</f>
        <v>1.8</v>
      </c>
      <c r="AA94" s="347">
        <f>IF(Calcoli!$D$1&lt;6,$C$55,0)</f>
        <v>1.8</v>
      </c>
      <c r="AB94" s="347">
        <f>IF(Calcoli!$D$1&lt;6,$C$55,0)</f>
        <v>1.8</v>
      </c>
      <c r="AC94" s="358">
        <f>IF(Calcoli!$D$1&lt;6,$C$55,0)</f>
        <v>1.8</v>
      </c>
    </row>
    <row r="95" spans="1:29" ht="15.75">
      <c r="A95" s="383" t="s">
        <v>127</v>
      </c>
      <c r="B95" s="384"/>
      <c r="C95" s="391"/>
      <c r="D95" s="50"/>
      <c r="E95" s="357">
        <f>$C$56</f>
        <v>200</v>
      </c>
      <c r="F95" s="347">
        <v>0</v>
      </c>
      <c r="G95" s="347">
        <v>0</v>
      </c>
      <c r="H95" s="347">
        <v>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7">
        <v>0</v>
      </c>
      <c r="P95" s="347">
        <v>0</v>
      </c>
      <c r="Q95" s="347">
        <v>0</v>
      </c>
      <c r="R95" s="347">
        <v>0</v>
      </c>
      <c r="S95" s="347">
        <v>0</v>
      </c>
      <c r="T95" s="347">
        <v>0</v>
      </c>
      <c r="U95" s="347">
        <v>0</v>
      </c>
      <c r="V95" s="347">
        <v>0</v>
      </c>
      <c r="W95" s="347">
        <v>0</v>
      </c>
      <c r="X95" s="347">
        <v>0</v>
      </c>
      <c r="Y95" s="357">
        <v>0</v>
      </c>
      <c r="Z95" s="347">
        <v>0</v>
      </c>
      <c r="AA95" s="347">
        <v>0</v>
      </c>
      <c r="AB95" s="347">
        <v>0</v>
      </c>
      <c r="AC95" s="358">
        <v>0</v>
      </c>
    </row>
    <row r="96" spans="1:29" ht="15.75">
      <c r="A96" s="383" t="s">
        <v>82</v>
      </c>
      <c r="B96" s="384"/>
      <c r="C96" s="391"/>
      <c r="D96" s="50"/>
      <c r="E96" s="357">
        <f>$C$57</f>
        <v>50</v>
      </c>
      <c r="F96" s="347">
        <v>0</v>
      </c>
      <c r="G96" s="347">
        <v>0</v>
      </c>
      <c r="H96" s="347">
        <v>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7">
        <v>0</v>
      </c>
      <c r="P96" s="347">
        <v>0</v>
      </c>
      <c r="Q96" s="347">
        <v>0</v>
      </c>
      <c r="R96" s="347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57">
        <v>0</v>
      </c>
      <c r="Z96" s="347">
        <v>0</v>
      </c>
      <c r="AA96" s="347">
        <v>0</v>
      </c>
      <c r="AB96" s="347">
        <v>0</v>
      </c>
      <c r="AC96" s="358">
        <v>0</v>
      </c>
    </row>
    <row r="97" spans="1:29" ht="16.5" thickBot="1">
      <c r="A97" s="383" t="s">
        <v>35</v>
      </c>
      <c r="B97" s="384"/>
      <c r="C97" s="391"/>
      <c r="D97" s="50"/>
      <c r="E97" s="357">
        <f>IF(E100&lt;=$C$59,$C$58,0)</f>
        <v>25</v>
      </c>
      <c r="F97" s="347">
        <f t="shared" ref="F97:AC97" si="27">IF(F100&lt;=$C$59,$C$58,0)</f>
        <v>25</v>
      </c>
      <c r="G97" s="347">
        <f t="shared" si="27"/>
        <v>25</v>
      </c>
      <c r="H97" s="347">
        <f t="shared" si="27"/>
        <v>25</v>
      </c>
      <c r="I97" s="347">
        <f t="shared" si="27"/>
        <v>25</v>
      </c>
      <c r="J97" s="347">
        <f t="shared" si="27"/>
        <v>25</v>
      </c>
      <c r="K97" s="347">
        <f t="shared" si="27"/>
        <v>25</v>
      </c>
      <c r="L97" s="347">
        <f t="shared" si="27"/>
        <v>25</v>
      </c>
      <c r="M97" s="347">
        <f t="shared" si="27"/>
        <v>25</v>
      </c>
      <c r="N97" s="347">
        <f t="shared" si="27"/>
        <v>25</v>
      </c>
      <c r="O97" s="347">
        <f t="shared" si="27"/>
        <v>25</v>
      </c>
      <c r="P97" s="347">
        <f t="shared" si="27"/>
        <v>25</v>
      </c>
      <c r="Q97" s="347">
        <f t="shared" si="27"/>
        <v>25</v>
      </c>
      <c r="R97" s="347">
        <f t="shared" si="27"/>
        <v>25</v>
      </c>
      <c r="S97" s="347">
        <f t="shared" si="27"/>
        <v>25</v>
      </c>
      <c r="T97" s="347">
        <f t="shared" si="27"/>
        <v>25</v>
      </c>
      <c r="U97" s="347">
        <f t="shared" si="27"/>
        <v>25</v>
      </c>
      <c r="V97" s="347">
        <f t="shared" si="27"/>
        <v>25</v>
      </c>
      <c r="W97" s="347">
        <f t="shared" si="27"/>
        <v>25</v>
      </c>
      <c r="X97" s="347">
        <f t="shared" si="27"/>
        <v>25</v>
      </c>
      <c r="Y97" s="373">
        <f t="shared" si="27"/>
        <v>25</v>
      </c>
      <c r="Z97" s="374">
        <f t="shared" si="27"/>
        <v>25</v>
      </c>
      <c r="AA97" s="374">
        <f t="shared" si="27"/>
        <v>25</v>
      </c>
      <c r="AB97" s="374">
        <f t="shared" si="27"/>
        <v>25</v>
      </c>
      <c r="AC97" s="375">
        <f t="shared" si="27"/>
        <v>25</v>
      </c>
    </row>
    <row r="98" spans="1:29" ht="16.5" thickBot="1">
      <c r="A98" s="385" t="s">
        <v>186</v>
      </c>
      <c r="B98" s="386"/>
      <c r="C98" s="387"/>
      <c r="D98" s="50"/>
      <c r="E98" s="180">
        <f>SUM(E87:E97)</f>
        <v>310.8</v>
      </c>
      <c r="F98" s="181">
        <f>SUM(F87:F97)</f>
        <v>51.8</v>
      </c>
      <c r="G98" s="181">
        <f t="shared" ref="G98:X98" si="28">SUM(G87:G97)</f>
        <v>51.8</v>
      </c>
      <c r="H98" s="181">
        <f t="shared" si="28"/>
        <v>51.8</v>
      </c>
      <c r="I98" s="181">
        <f t="shared" si="28"/>
        <v>51.8</v>
      </c>
      <c r="J98" s="181">
        <f t="shared" si="28"/>
        <v>51.8</v>
      </c>
      <c r="K98" s="181">
        <f t="shared" si="28"/>
        <v>51.8</v>
      </c>
      <c r="L98" s="181">
        <f t="shared" si="28"/>
        <v>51.8</v>
      </c>
      <c r="M98" s="181">
        <f t="shared" si="28"/>
        <v>51.8</v>
      </c>
      <c r="N98" s="181">
        <f t="shared" si="28"/>
        <v>301.8</v>
      </c>
      <c r="O98" s="181">
        <f t="shared" si="28"/>
        <v>51.8</v>
      </c>
      <c r="P98" s="181">
        <f t="shared" si="28"/>
        <v>51.8</v>
      </c>
      <c r="Q98" s="181">
        <f t="shared" si="28"/>
        <v>51.8</v>
      </c>
      <c r="R98" s="181">
        <f t="shared" si="28"/>
        <v>51.8</v>
      </c>
      <c r="S98" s="181">
        <f t="shared" si="28"/>
        <v>51.8</v>
      </c>
      <c r="T98" s="181">
        <f t="shared" si="28"/>
        <v>51.8</v>
      </c>
      <c r="U98" s="181">
        <f t="shared" si="28"/>
        <v>51.8</v>
      </c>
      <c r="V98" s="181">
        <f t="shared" si="28"/>
        <v>51.8</v>
      </c>
      <c r="W98" s="181">
        <f t="shared" si="28"/>
        <v>51.8</v>
      </c>
      <c r="X98" s="181">
        <f t="shared" si="28"/>
        <v>301.8</v>
      </c>
      <c r="Y98" s="180">
        <f t="shared" ref="Y98:AC98" si="29">SUM(Y87:Y97)</f>
        <v>51.8</v>
      </c>
      <c r="Z98" s="181">
        <f t="shared" si="29"/>
        <v>51.8</v>
      </c>
      <c r="AA98" s="181">
        <f t="shared" si="29"/>
        <v>51.8</v>
      </c>
      <c r="AB98" s="181">
        <f t="shared" si="29"/>
        <v>51.8</v>
      </c>
      <c r="AC98" s="182">
        <f t="shared" si="29"/>
        <v>51.8</v>
      </c>
    </row>
    <row r="99" spans="1:29" ht="11.25" customHeight="1" thickBot="1">
      <c r="A99" s="41"/>
      <c r="B99" s="50"/>
      <c r="C99" s="50"/>
      <c r="D99" s="50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344"/>
      <c r="Z99" s="54"/>
      <c r="AA99" s="54"/>
      <c r="AB99" s="54"/>
      <c r="AC99" s="54"/>
    </row>
    <row r="100" spans="1:29" ht="16.5" thickBot="1">
      <c r="A100" s="392" t="s">
        <v>92</v>
      </c>
      <c r="B100" s="393"/>
      <c r="C100" s="394"/>
      <c r="D100" s="50"/>
      <c r="E100" s="376">
        <v>1</v>
      </c>
      <c r="F100" s="377">
        <v>2</v>
      </c>
      <c r="G100" s="377">
        <v>3</v>
      </c>
      <c r="H100" s="377">
        <v>4</v>
      </c>
      <c r="I100" s="377">
        <v>5</v>
      </c>
      <c r="J100" s="377">
        <v>6</v>
      </c>
      <c r="K100" s="377">
        <v>7</v>
      </c>
      <c r="L100" s="377">
        <v>8</v>
      </c>
      <c r="M100" s="377">
        <v>9</v>
      </c>
      <c r="N100" s="377">
        <v>10</v>
      </c>
      <c r="O100" s="377">
        <v>11</v>
      </c>
      <c r="P100" s="377">
        <v>12</v>
      </c>
      <c r="Q100" s="377">
        <v>13</v>
      </c>
      <c r="R100" s="377">
        <v>14</v>
      </c>
      <c r="S100" s="377">
        <v>15</v>
      </c>
      <c r="T100" s="377">
        <v>16</v>
      </c>
      <c r="U100" s="377">
        <v>17</v>
      </c>
      <c r="V100" s="377">
        <v>18</v>
      </c>
      <c r="W100" s="377">
        <v>19</v>
      </c>
      <c r="X100" s="377">
        <v>20</v>
      </c>
      <c r="Y100" s="376">
        <v>21</v>
      </c>
      <c r="Z100" s="377">
        <v>22</v>
      </c>
      <c r="AA100" s="377">
        <v>23</v>
      </c>
      <c r="AB100" s="377">
        <v>24</v>
      </c>
      <c r="AC100" s="378">
        <v>25</v>
      </c>
    </row>
    <row r="101" spans="1:29" ht="16.5" thickBot="1">
      <c r="A101" s="397" t="s">
        <v>140</v>
      </c>
      <c r="B101" s="398"/>
      <c r="C101" s="399"/>
      <c r="D101" s="50"/>
      <c r="E101" s="56">
        <f>IF(Finanziamento!I4=2,((-(C4*C43))+E83-E98),((-(C4*C43))+C47+E83-E98))</f>
        <v>-5655.7753344914254</v>
      </c>
      <c r="F101" s="56">
        <f t="shared" ref="F101:AC101" si="30">E101+F83-F98</f>
        <v>-4751.7854605025723</v>
      </c>
      <c r="G101" s="56">
        <f t="shared" si="30"/>
        <v>-3846.7504613201672</v>
      </c>
      <c r="H101" s="56">
        <f t="shared" si="30"/>
        <v>-2940.3841518193708</v>
      </c>
      <c r="I101" s="56">
        <f t="shared" si="30"/>
        <v>-2032.3938656255182</v>
      </c>
      <c r="J101" s="56">
        <f t="shared" si="30"/>
        <v>-1122.4802359414637</v>
      </c>
      <c r="K101" s="56">
        <f t="shared" si="30"/>
        <v>-210.33696984475847</v>
      </c>
      <c r="L101" s="56">
        <f t="shared" si="30"/>
        <v>704.34938414708881</v>
      </c>
      <c r="M101" s="56">
        <f t="shared" si="30"/>
        <v>1621.8996754511877</v>
      </c>
      <c r="N101" s="56">
        <f t="shared" si="30"/>
        <v>2292.6423979479523</v>
      </c>
      <c r="O101" s="56">
        <f t="shared" si="30"/>
        <v>3216.9139438847219</v>
      </c>
      <c r="P101" s="56">
        <f t="shared" si="30"/>
        <v>4145.0588653818941</v>
      </c>
      <c r="Q101" s="56">
        <f t="shared" si="30"/>
        <v>5077.4301437761033</v>
      </c>
      <c r="R101" s="56">
        <f t="shared" si="30"/>
        <v>6014.3894670421532</v>
      </c>
      <c r="S101" s="56">
        <f t="shared" si="30"/>
        <v>6956.3075155428005</v>
      </c>
      <c r="T101" s="56">
        <f t="shared" si="30"/>
        <v>7903.5642563631063</v>
      </c>
      <c r="U101" s="56">
        <f t="shared" si="30"/>
        <v>8856.5492464939234</v>
      </c>
      <c r="V101" s="56">
        <f t="shared" si="30"/>
        <v>9815.6619451371789</v>
      </c>
      <c r="W101" s="56">
        <f t="shared" si="30"/>
        <v>10781.312035413959</v>
      </c>
      <c r="X101" s="320">
        <f t="shared" si="30"/>
        <v>11503.919755764993</v>
      </c>
      <c r="Y101" s="56">
        <f t="shared" si="30"/>
        <v>12214.756467271278</v>
      </c>
      <c r="Z101" s="56">
        <f t="shared" si="30"/>
        <v>12935.846765522607</v>
      </c>
      <c r="AA101" s="56">
        <f t="shared" si="30"/>
        <v>13667.622842835708</v>
      </c>
      <c r="AB101" s="56">
        <f t="shared" si="30"/>
        <v>14410.529071698125</v>
      </c>
      <c r="AC101" s="56">
        <f t="shared" si="30"/>
        <v>15165.022387528465</v>
      </c>
    </row>
    <row r="102" spans="1:29" ht="15.75" thickBot="1"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thickBot="1">
      <c r="A103" s="183"/>
      <c r="B103" s="57" t="s">
        <v>217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9.5" customHeight="1" thickBot="1">
      <c r="A104" s="95"/>
      <c r="B104" s="57" t="s">
        <v>267</v>
      </c>
      <c r="E104" s="458" t="s">
        <v>281</v>
      </c>
      <c r="F104" s="459"/>
      <c r="G104" s="459"/>
      <c r="H104" s="459"/>
      <c r="I104" s="462">
        <f>IRR(E101:X101)</f>
        <v>0.1094412992737691</v>
      </c>
      <c r="J104" s="455"/>
      <c r="K104" s="454"/>
      <c r="L104" s="456"/>
    </row>
    <row r="105" spans="1:29" ht="19.5" customHeight="1" thickBot="1">
      <c r="A105" s="98"/>
      <c r="B105" s="57" t="s">
        <v>138</v>
      </c>
      <c r="E105" s="460"/>
      <c r="F105" s="461"/>
      <c r="G105" s="461"/>
      <c r="H105" s="461"/>
      <c r="I105" s="463"/>
      <c r="J105" s="455"/>
      <c r="K105" s="454"/>
      <c r="L105" s="457"/>
    </row>
    <row r="106" spans="1:29" ht="15.75" thickBot="1">
      <c r="A106" s="96"/>
      <c r="B106" s="57" t="s">
        <v>136</v>
      </c>
    </row>
    <row r="107" spans="1:29" ht="15.75" thickBot="1">
      <c r="A107" s="99"/>
      <c r="B107" s="57" t="s">
        <v>137</v>
      </c>
    </row>
    <row r="108" spans="1:29">
      <c r="A108" s="2"/>
      <c r="B108" s="97"/>
    </row>
  </sheetData>
  <mergeCells count="31">
    <mergeCell ref="F34:J34"/>
    <mergeCell ref="Q9:U9"/>
    <mergeCell ref="Q10:U10"/>
    <mergeCell ref="Q11:V11"/>
    <mergeCell ref="Q12:V12"/>
    <mergeCell ref="Q13:V13"/>
    <mergeCell ref="Q14:V14"/>
    <mergeCell ref="Q15:V15"/>
    <mergeCell ref="Q16:V16"/>
    <mergeCell ref="Q17:V17"/>
    <mergeCell ref="A1:G1"/>
    <mergeCell ref="I54:J54"/>
    <mergeCell ref="H52:I52"/>
    <mergeCell ref="A15:C15"/>
    <mergeCell ref="A18:C18"/>
    <mergeCell ref="A8:C8"/>
    <mergeCell ref="A10:C10"/>
    <mergeCell ref="A13:C13"/>
    <mergeCell ref="H24:O25"/>
    <mergeCell ref="I42:J42"/>
    <mergeCell ref="I43:J43"/>
    <mergeCell ref="I41:J41"/>
    <mergeCell ref="F49:J49"/>
    <mergeCell ref="I53:J53"/>
    <mergeCell ref="F38:J39"/>
    <mergeCell ref="I47:J47"/>
    <mergeCell ref="L104:L105"/>
    <mergeCell ref="E104:H105"/>
    <mergeCell ref="I104:I105"/>
    <mergeCell ref="E57:J57"/>
    <mergeCell ref="I48:J48"/>
  </mergeCells>
  <conditionalFormatting sqref="E101:AC101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85:X90 Y86:AC87 F90:AC90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85:AC85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85:AC90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6:AC82">
    <cfRule type="cellIs" dxfId="9" priority="134" operator="equal">
      <formula>0</formula>
    </cfRule>
  </conditionalFormatting>
  <conditionalFormatting sqref="E91:AC97">
    <cfRule type="cellIs" dxfId="8" priority="2" operator="equal">
      <formula>0</formula>
    </cfRule>
    <cfRule type="cellIs" dxfId="7" priority="3" operator="greaterThan">
      <formula>0</formula>
    </cfRule>
  </conditionalFormatting>
  <hyperlinks>
    <hyperlink ref="F34" r:id="rId1"/>
    <hyperlink ref="Q11:V11" r:id="rId2" display="Orientamento ottimale dei moduli, gli inseguitori"/>
    <hyperlink ref="Q12:V12" r:id="rId3" display="Migliorare le prestazioni di un impianto "/>
    <hyperlink ref="Q9:U9" r:id="rId4" display="La produttività degli impianti fotovoltaici"/>
    <hyperlink ref="Q13:V13" r:id="rId5" display="Calcolare il rendimento di un pannello fotovoltaico"/>
    <hyperlink ref="Q10:U10" r:id="rId6" display="Il calore fa male ai pannelli fotovoltaici"/>
    <hyperlink ref="F49:J49" location="Finanziamento!A1" display="Clicca per dettagli finanziamento"/>
    <hyperlink ref="Q14:V14" r:id="rId7" display="Confrontare le tariffe energetiche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54:C55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AL16" sqref="AL1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9.140625" hidden="1" customWidth="1"/>
    <col min="10" max="10" width="11" hidden="1" customWidth="1"/>
    <col min="11" max="34" width="9.140625" hidden="1" customWidth="1"/>
    <col min="35" max="35" width="9.140625" customWidth="1"/>
  </cols>
  <sheetData>
    <row r="1" spans="1:34" ht="21">
      <c r="A1" s="133"/>
      <c r="B1" s="134"/>
      <c r="C1" s="505" t="s">
        <v>188</v>
      </c>
      <c r="D1" s="505"/>
      <c r="E1" s="505"/>
      <c r="F1" s="505"/>
      <c r="G1" s="505"/>
      <c r="H1" s="505"/>
    </row>
    <row r="2" spans="1:34" ht="16.5">
      <c r="A2" s="135"/>
      <c r="B2" s="136"/>
      <c r="C2" s="137"/>
      <c r="D2" s="137"/>
      <c r="E2" s="137"/>
      <c r="F2" s="137"/>
      <c r="G2" s="137"/>
      <c r="H2" s="137"/>
      <c r="I2" t="s">
        <v>205</v>
      </c>
    </row>
    <row r="3" spans="1:34" ht="19.5">
      <c r="A3" s="135"/>
      <c r="B3" s="138"/>
      <c r="C3" s="139"/>
      <c r="D3" s="138"/>
      <c r="E3" s="140" t="s">
        <v>189</v>
      </c>
      <c r="F3" s="138"/>
      <c r="G3" s="451" t="s">
        <v>270</v>
      </c>
      <c r="H3" s="451"/>
      <c r="I3" t="s">
        <v>91</v>
      </c>
    </row>
    <row r="4" spans="1:34" ht="16.5">
      <c r="A4" s="135"/>
      <c r="B4" s="138"/>
      <c r="C4" s="139" t="s">
        <v>190</v>
      </c>
      <c r="D4" s="138"/>
      <c r="E4" s="141">
        <f>'Simulazione 8.4'!C47</f>
        <v>6550</v>
      </c>
      <c r="F4" s="142"/>
      <c r="G4" s="138"/>
      <c r="H4" s="138"/>
      <c r="I4" s="176">
        <v>2</v>
      </c>
    </row>
    <row r="5" spans="1:34" ht="16.5">
      <c r="A5" s="135"/>
      <c r="B5" s="138"/>
      <c r="C5" s="139" t="s">
        <v>191</v>
      </c>
      <c r="D5" s="139"/>
      <c r="E5" s="143">
        <f>'Simulazione 8.4'!C49/100</f>
        <v>0.08</v>
      </c>
      <c r="F5" s="138"/>
      <c r="G5" s="138"/>
      <c r="H5" s="138"/>
    </row>
    <row r="6" spans="1:34" ht="16.5">
      <c r="A6" s="135"/>
      <c r="B6" s="138"/>
      <c r="C6" s="139" t="s">
        <v>192</v>
      </c>
      <c r="D6" s="139"/>
      <c r="E6" s="144">
        <f>'Simulazione 8.4'!C48</f>
        <v>10</v>
      </c>
      <c r="F6" s="138"/>
      <c r="G6" s="138"/>
      <c r="H6" s="138"/>
      <c r="I6" t="s">
        <v>206</v>
      </c>
      <c r="J6" s="177">
        <f>SUM(E16:E27)</f>
        <v>6203.7225545781439</v>
      </c>
    </row>
    <row r="7" spans="1:34" ht="16.5">
      <c r="A7" s="135"/>
      <c r="B7" s="138"/>
      <c r="C7" s="139" t="s">
        <v>193</v>
      </c>
      <c r="D7" s="139"/>
      <c r="E7" s="145">
        <v>42005</v>
      </c>
      <c r="F7" s="138"/>
      <c r="G7" s="138"/>
      <c r="H7" s="138"/>
    </row>
    <row r="8" spans="1:34" ht="16.5">
      <c r="A8" s="135"/>
      <c r="B8" s="138"/>
      <c r="C8" s="139"/>
      <c r="D8" s="138"/>
      <c r="E8" s="146"/>
      <c r="F8" s="138"/>
      <c r="G8" s="138"/>
      <c r="H8" s="138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35"/>
      <c r="B9" s="138"/>
      <c r="C9" s="139" t="s">
        <v>194</v>
      </c>
      <c r="D9" s="139"/>
      <c r="E9" s="147">
        <f>IF(Values_Entered,Monthly_Payment,"")</f>
        <v>79.469574302759227</v>
      </c>
      <c r="F9" s="142"/>
      <c r="G9" s="138"/>
      <c r="H9" s="138"/>
      <c r="J9">
        <f>IF($I$4=2,0,$J$6)</f>
        <v>0</v>
      </c>
      <c r="K9">
        <f t="shared" ref="K9:AH9" si="0">IF($I$4=2,0,$J$6)</f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</row>
    <row r="10" spans="1:34" ht="16.5">
      <c r="A10" s="135"/>
      <c r="B10" s="138"/>
      <c r="C10" s="139" t="s">
        <v>195</v>
      </c>
      <c r="D10" s="139"/>
      <c r="E10" s="148">
        <f>IF(Values_Entered,Loan_Years*12,"")</f>
        <v>120</v>
      </c>
      <c r="F10" s="138"/>
      <c r="G10" s="138"/>
      <c r="H10" s="138"/>
    </row>
    <row r="11" spans="1:34" ht="16.5">
      <c r="A11" s="135"/>
      <c r="B11" s="138"/>
      <c r="C11" s="139" t="s">
        <v>196</v>
      </c>
      <c r="D11" s="138"/>
      <c r="E11" s="149">
        <f>IF(Values_Entered,Total_Cost-Loan_Amount,"")</f>
        <v>2986.3489163311078</v>
      </c>
      <c r="F11" s="138"/>
      <c r="G11" s="138"/>
      <c r="H11" s="138"/>
    </row>
    <row r="12" spans="1:34" ht="16.5">
      <c r="A12" s="135"/>
      <c r="B12" s="138"/>
      <c r="C12" s="139" t="s">
        <v>197</v>
      </c>
      <c r="D12" s="139"/>
      <c r="E12" s="149">
        <f>IF(Values_Entered,Monthly_Payment*Number_of_Payments,"")</f>
        <v>9536.3489163311078</v>
      </c>
      <c r="F12" s="138"/>
      <c r="G12" s="138"/>
      <c r="H12" s="138"/>
    </row>
    <row r="13" spans="1:34" ht="16.5">
      <c r="A13" s="135"/>
      <c r="B13" s="138"/>
      <c r="C13" s="139"/>
      <c r="D13" s="138"/>
      <c r="E13" s="146"/>
      <c r="F13" s="138"/>
      <c r="G13" s="138"/>
      <c r="H13" s="138"/>
    </row>
    <row r="14" spans="1:34" ht="16.5">
      <c r="A14" s="135"/>
      <c r="B14" s="138"/>
      <c r="C14" s="139"/>
      <c r="D14" s="138"/>
      <c r="E14" s="146"/>
      <c r="F14" s="138"/>
      <c r="G14" s="138"/>
      <c r="H14" s="138"/>
    </row>
    <row r="15" spans="1:34" ht="30">
      <c r="A15" s="150"/>
      <c r="B15" s="151" t="s">
        <v>198</v>
      </c>
      <c r="C15" s="152" t="s">
        <v>199</v>
      </c>
      <c r="D15" s="153" t="s">
        <v>200</v>
      </c>
      <c r="E15" s="153" t="s">
        <v>201</v>
      </c>
      <c r="F15" s="153" t="s">
        <v>202</v>
      </c>
      <c r="G15" s="153" t="s">
        <v>203</v>
      </c>
      <c r="H15" s="152" t="s">
        <v>204</v>
      </c>
    </row>
    <row r="16" spans="1:34" ht="16.5">
      <c r="A16" s="150"/>
      <c r="B16" s="154">
        <v>1</v>
      </c>
      <c r="C16" s="155">
        <v>42036</v>
      </c>
      <c r="D16" s="156">
        <v>42610</v>
      </c>
      <c r="E16" s="156">
        <v>516.97687954817866</v>
      </c>
      <c r="F16" s="156">
        <v>232.910212881512</v>
      </c>
      <c r="G16" s="156">
        <v>284.06666666666666</v>
      </c>
      <c r="H16" s="156">
        <v>42377.089787118493</v>
      </c>
    </row>
    <row r="17" spans="1:8" ht="16.5">
      <c r="A17" s="150"/>
      <c r="B17" s="154">
        <v>2</v>
      </c>
      <c r="C17" s="155">
        <v>42064</v>
      </c>
      <c r="D17" s="156">
        <v>42377.089787118493</v>
      </c>
      <c r="E17" s="156">
        <v>516.97687954817866</v>
      </c>
      <c r="F17" s="156">
        <v>234.46294763405535</v>
      </c>
      <c r="G17" s="156">
        <v>282.5139319141233</v>
      </c>
      <c r="H17" s="156">
        <v>42142.626839484437</v>
      </c>
    </row>
    <row r="18" spans="1:8" ht="16.5">
      <c r="A18" s="150"/>
      <c r="B18" s="154">
        <v>3</v>
      </c>
      <c r="C18" s="155">
        <v>42095</v>
      </c>
      <c r="D18" s="156">
        <v>42142.626839484437</v>
      </c>
      <c r="E18" s="156">
        <v>516.97687954817866</v>
      </c>
      <c r="F18" s="156">
        <v>236.02603395161572</v>
      </c>
      <c r="G18" s="156">
        <v>280.95084559656294</v>
      </c>
      <c r="H18" s="156">
        <v>41906.60080553282</v>
      </c>
    </row>
    <row r="19" spans="1:8" ht="16.5">
      <c r="A19" s="150"/>
      <c r="B19" s="154">
        <v>4</v>
      </c>
      <c r="C19" s="155">
        <v>42125</v>
      </c>
      <c r="D19" s="156">
        <v>41906.60080553282</v>
      </c>
      <c r="E19" s="156">
        <v>516.97687954817866</v>
      </c>
      <c r="F19" s="156">
        <v>237.59954084462652</v>
      </c>
      <c r="G19" s="156">
        <v>279.37733870355214</v>
      </c>
      <c r="H19" s="156">
        <v>41669.001264688195</v>
      </c>
    </row>
    <row r="20" spans="1:8" ht="16.5">
      <c r="A20" s="150"/>
      <c r="B20" s="154">
        <v>5</v>
      </c>
      <c r="C20" s="155">
        <v>42156</v>
      </c>
      <c r="D20" s="156">
        <v>41669.001264688195</v>
      </c>
      <c r="E20" s="156">
        <v>516.97687954817866</v>
      </c>
      <c r="F20" s="156">
        <v>239.18353778359068</v>
      </c>
      <c r="G20" s="156">
        <v>277.79334176458798</v>
      </c>
      <c r="H20" s="156">
        <v>41429.817726904606</v>
      </c>
    </row>
    <row r="21" spans="1:8" ht="16.5">
      <c r="A21" s="150"/>
      <c r="B21" s="154">
        <v>6</v>
      </c>
      <c r="C21" s="155">
        <v>42186</v>
      </c>
      <c r="D21" s="156">
        <v>41429.817726904606</v>
      </c>
      <c r="E21" s="156">
        <v>516.97687954817866</v>
      </c>
      <c r="F21" s="156">
        <v>240.77809470214794</v>
      </c>
      <c r="G21" s="156">
        <v>276.19878484603072</v>
      </c>
      <c r="H21" s="156">
        <v>41189.039632202468</v>
      </c>
    </row>
    <row r="22" spans="1:8" ht="16.5">
      <c r="A22" s="135"/>
      <c r="B22" s="154">
        <v>7</v>
      </c>
      <c r="C22" s="155">
        <v>42217</v>
      </c>
      <c r="D22" s="156">
        <v>41189.039632202468</v>
      </c>
      <c r="E22" s="156">
        <v>516.97687954817866</v>
      </c>
      <c r="F22" s="156">
        <v>242.38328200016218</v>
      </c>
      <c r="G22" s="156">
        <v>274.59359754801648</v>
      </c>
      <c r="H22" s="156">
        <v>40946.656350202305</v>
      </c>
    </row>
    <row r="23" spans="1:8" ht="16.5">
      <c r="A23" s="135"/>
      <c r="B23" s="154">
        <v>8</v>
      </c>
      <c r="C23" s="155">
        <v>42248</v>
      </c>
      <c r="D23" s="156">
        <v>40946.656350202305</v>
      </c>
      <c r="E23" s="156">
        <v>516.97687954817866</v>
      </c>
      <c r="F23" s="156">
        <v>243.99917054682993</v>
      </c>
      <c r="G23" s="156">
        <v>272.97770900134873</v>
      </c>
      <c r="H23" s="156">
        <v>40702.657179655478</v>
      </c>
    </row>
    <row r="24" spans="1:8" ht="16.5">
      <c r="A24" s="135"/>
      <c r="B24" s="154">
        <v>9</v>
      </c>
      <c r="C24" s="155">
        <v>42278</v>
      </c>
      <c r="D24" s="156">
        <v>40702.657179655478</v>
      </c>
      <c r="E24" s="156">
        <v>516.97687954817866</v>
      </c>
      <c r="F24" s="156">
        <v>245.62583168380877</v>
      </c>
      <c r="G24" s="156">
        <v>271.35104786436989</v>
      </c>
      <c r="H24" s="156">
        <v>40457.031347971671</v>
      </c>
    </row>
    <row r="25" spans="1:8" ht="16.5">
      <c r="A25" s="135"/>
      <c r="B25" s="154">
        <v>10</v>
      </c>
      <c r="C25" s="155">
        <v>42309</v>
      </c>
      <c r="D25" s="156">
        <v>40457.031347971671</v>
      </c>
      <c r="E25" s="156">
        <v>516.97687954817866</v>
      </c>
      <c r="F25" s="156">
        <v>247.2633372283675</v>
      </c>
      <c r="G25" s="156">
        <v>269.71354231981115</v>
      </c>
      <c r="H25" s="156">
        <v>40209.768010743304</v>
      </c>
    </row>
    <row r="26" spans="1:8" ht="16.5">
      <c r="A26" s="135"/>
      <c r="B26" s="154">
        <v>11</v>
      </c>
      <c r="C26" s="155">
        <v>42339</v>
      </c>
      <c r="D26" s="156">
        <v>40209.768010743304</v>
      </c>
      <c r="E26" s="156">
        <v>516.97687954817866</v>
      </c>
      <c r="F26" s="156">
        <v>248.9117594765566</v>
      </c>
      <c r="G26" s="156">
        <v>268.06512007162206</v>
      </c>
      <c r="H26" s="156">
        <v>39960.856251266749</v>
      </c>
    </row>
    <row r="27" spans="1:8" ht="16.5">
      <c r="A27" s="135"/>
      <c r="B27" s="154">
        <v>12</v>
      </c>
      <c r="C27" s="155">
        <v>42370</v>
      </c>
      <c r="D27" s="156">
        <v>39960.856251266749</v>
      </c>
      <c r="E27" s="156">
        <v>516.97687954817866</v>
      </c>
      <c r="F27" s="156">
        <v>250.57117120640032</v>
      </c>
      <c r="G27" s="156">
        <v>266.40570834177834</v>
      </c>
      <c r="H27" s="156">
        <v>39710.285080060348</v>
      </c>
    </row>
    <row r="28" spans="1:8" ht="16.5">
      <c r="A28" s="135"/>
      <c r="B28" s="154">
        <v>13</v>
      </c>
      <c r="C28" s="155">
        <v>42401</v>
      </c>
      <c r="D28" s="156">
        <v>39710.285080060348</v>
      </c>
      <c r="E28" s="156">
        <v>516.97687954817866</v>
      </c>
      <c r="F28" s="156">
        <v>252.24164568110967</v>
      </c>
      <c r="G28" s="156">
        <v>264.73523386706898</v>
      </c>
      <c r="H28" s="156">
        <v>39458.043434379244</v>
      </c>
    </row>
    <row r="29" spans="1:8" ht="16.5">
      <c r="A29" s="135"/>
      <c r="B29" s="154">
        <v>14</v>
      </c>
      <c r="C29" s="155">
        <v>42430</v>
      </c>
      <c r="D29" s="156">
        <v>39458.043434379244</v>
      </c>
      <c r="E29" s="156">
        <v>516.97687954817866</v>
      </c>
      <c r="F29" s="156">
        <v>253.92325665231704</v>
      </c>
      <c r="G29" s="156">
        <v>263.05362289586162</v>
      </c>
      <c r="H29" s="156">
        <v>39204.120177726931</v>
      </c>
    </row>
    <row r="30" spans="1:8" ht="16.5">
      <c r="A30" s="135"/>
      <c r="B30" s="154">
        <v>15</v>
      </c>
      <c r="C30" s="155">
        <v>42461</v>
      </c>
      <c r="D30" s="156">
        <v>39204.120177726931</v>
      </c>
      <c r="E30" s="156">
        <v>516.97687954817866</v>
      </c>
      <c r="F30" s="156">
        <v>255.61607836333246</v>
      </c>
      <c r="G30" s="156">
        <v>261.3608011848462</v>
      </c>
      <c r="H30" s="156">
        <v>38948.504099363607</v>
      </c>
    </row>
    <row r="31" spans="1:8" ht="16.5">
      <c r="A31" s="135"/>
      <c r="B31" s="154">
        <v>16</v>
      </c>
      <c r="C31" s="155">
        <v>42491</v>
      </c>
      <c r="D31" s="156">
        <v>38948.504099363607</v>
      </c>
      <c r="E31" s="156">
        <v>516.97687954817866</v>
      </c>
      <c r="F31" s="156">
        <v>257.32018555242126</v>
      </c>
      <c r="G31" s="156">
        <v>259.65669399575739</v>
      </c>
      <c r="H31" s="156">
        <v>38691.183913811183</v>
      </c>
    </row>
    <row r="32" spans="1:8" ht="16.5">
      <c r="A32" s="135"/>
      <c r="B32" s="154">
        <v>17</v>
      </c>
      <c r="C32" s="155">
        <v>42522</v>
      </c>
      <c r="D32" s="156">
        <v>38691.183913811183</v>
      </c>
      <c r="E32" s="156">
        <v>516.97687954817866</v>
      </c>
      <c r="F32" s="156">
        <v>259.03565345610411</v>
      </c>
      <c r="G32" s="156">
        <v>257.94122609207454</v>
      </c>
      <c r="H32" s="156">
        <v>38432.148260355068</v>
      </c>
    </row>
    <row r="33" spans="1:8" ht="16.5">
      <c r="A33" s="135"/>
      <c r="B33" s="154">
        <v>18</v>
      </c>
      <c r="C33" s="155">
        <v>42552</v>
      </c>
      <c r="D33" s="156">
        <v>38432.148260355068</v>
      </c>
      <c r="E33" s="156">
        <v>516.97687954817866</v>
      </c>
      <c r="F33" s="156">
        <v>260.76255781247818</v>
      </c>
      <c r="G33" s="156">
        <v>256.21432173570048</v>
      </c>
      <c r="H33" s="156">
        <v>38171.385702542597</v>
      </c>
    </row>
    <row r="34" spans="1:8" ht="16.5">
      <c r="A34" s="135"/>
      <c r="B34" s="154">
        <v>19</v>
      </c>
      <c r="C34" s="155">
        <v>42583</v>
      </c>
      <c r="D34" s="156">
        <v>38171.385702542597</v>
      </c>
      <c r="E34" s="156">
        <v>516.97687954817866</v>
      </c>
      <c r="F34" s="156">
        <v>262.50097486456133</v>
      </c>
      <c r="G34" s="156">
        <v>254.47590468361733</v>
      </c>
      <c r="H34" s="156">
        <v>37908.884727678036</v>
      </c>
    </row>
    <row r="35" spans="1:8" ht="16.5">
      <c r="A35" s="135"/>
      <c r="B35" s="154">
        <v>20</v>
      </c>
      <c r="C35" s="155">
        <v>42614</v>
      </c>
      <c r="D35" s="156">
        <v>37908.884727678036</v>
      </c>
      <c r="E35" s="156">
        <v>516.97687954817866</v>
      </c>
      <c r="F35" s="156">
        <v>264.25098136365841</v>
      </c>
      <c r="G35" s="156">
        <v>252.72589818452025</v>
      </c>
      <c r="H35" s="156">
        <v>37644.633746314386</v>
      </c>
    </row>
    <row r="36" spans="1:8" ht="16.5">
      <c r="A36" s="135"/>
      <c r="B36" s="154">
        <v>21</v>
      </c>
      <c r="C36" s="155">
        <v>42644</v>
      </c>
      <c r="D36" s="156">
        <v>37644.633746314386</v>
      </c>
      <c r="E36" s="156">
        <v>516.97687954817866</v>
      </c>
      <c r="F36" s="156">
        <v>266.0126545727494</v>
      </c>
      <c r="G36" s="156">
        <v>250.96422497542926</v>
      </c>
      <c r="H36" s="156">
        <v>37378.621091741639</v>
      </c>
    </row>
    <row r="37" spans="1:8" ht="16.5">
      <c r="A37" s="135"/>
      <c r="B37" s="154">
        <v>22</v>
      </c>
      <c r="C37" s="155">
        <v>42675</v>
      </c>
      <c r="D37" s="156">
        <v>37378.621091741639</v>
      </c>
      <c r="E37" s="156">
        <v>516.97687954817866</v>
      </c>
      <c r="F37" s="156">
        <v>267.78607226990107</v>
      </c>
      <c r="G37" s="156">
        <v>249.19080727827762</v>
      </c>
      <c r="H37" s="156">
        <v>37110.835019471742</v>
      </c>
    </row>
    <row r="38" spans="1:8" ht="16.5">
      <c r="A38" s="135"/>
      <c r="B38" s="154">
        <v>23</v>
      </c>
      <c r="C38" s="155">
        <v>42705</v>
      </c>
      <c r="D38" s="156">
        <v>37110.835019471742</v>
      </c>
      <c r="E38" s="156">
        <v>516.97687954817866</v>
      </c>
      <c r="F38" s="156">
        <v>269.57131275170036</v>
      </c>
      <c r="G38" s="156">
        <v>247.4055667964783</v>
      </c>
      <c r="H38" s="156">
        <v>36841.263706720041</v>
      </c>
    </row>
    <row r="39" spans="1:8" ht="16.5">
      <c r="A39" s="135"/>
      <c r="B39" s="154">
        <v>24</v>
      </c>
      <c r="C39" s="155">
        <v>42736</v>
      </c>
      <c r="D39" s="156">
        <v>36841.263706720041</v>
      </c>
      <c r="E39" s="156">
        <v>516.97687954817866</v>
      </c>
      <c r="F39" s="156">
        <v>271.36845483671169</v>
      </c>
      <c r="G39" s="156">
        <v>245.60842471146697</v>
      </c>
      <c r="H39" s="156">
        <v>36569.895251883332</v>
      </c>
    </row>
    <row r="40" spans="1:8" ht="16.5">
      <c r="A40" s="135"/>
      <c r="B40" s="154">
        <v>25</v>
      </c>
      <c r="C40" s="155">
        <v>42767</v>
      </c>
      <c r="D40" s="156">
        <v>36569.895251883332</v>
      </c>
      <c r="E40" s="156">
        <v>516.97687954817866</v>
      </c>
      <c r="F40" s="156">
        <v>273.1775778689564</v>
      </c>
      <c r="G40" s="156">
        <v>243.79930167922222</v>
      </c>
      <c r="H40" s="156">
        <v>36296.717674014384</v>
      </c>
    </row>
    <row r="41" spans="1:8" ht="16.5">
      <c r="A41" s="135"/>
      <c r="B41" s="154">
        <v>26</v>
      </c>
      <c r="C41" s="155">
        <v>42795</v>
      </c>
      <c r="D41" s="156">
        <v>36296.717674014384</v>
      </c>
      <c r="E41" s="156">
        <v>516.97687954817866</v>
      </c>
      <c r="F41" s="156">
        <v>274.99876172141609</v>
      </c>
      <c r="G41" s="156">
        <v>241.97811782676257</v>
      </c>
      <c r="H41" s="156">
        <v>36021.718912292956</v>
      </c>
    </row>
    <row r="42" spans="1:8" ht="16.5">
      <c r="A42" s="135"/>
      <c r="B42" s="154">
        <v>27</v>
      </c>
      <c r="C42" s="155">
        <v>42826</v>
      </c>
      <c r="D42" s="156">
        <v>36021.718912292956</v>
      </c>
      <c r="E42" s="156">
        <v>516.97687954817866</v>
      </c>
      <c r="F42" s="156">
        <v>276.83208679955897</v>
      </c>
      <c r="G42" s="156">
        <v>240.14479274861972</v>
      </c>
      <c r="H42" s="156">
        <v>35744.886825493406</v>
      </c>
    </row>
    <row r="43" spans="1:8" ht="16.5">
      <c r="A43" s="135"/>
      <c r="B43" s="154">
        <v>28</v>
      </c>
      <c r="C43" s="155">
        <v>42856</v>
      </c>
      <c r="D43" s="156">
        <v>35744.886825493406</v>
      </c>
      <c r="E43" s="156">
        <v>516.97687954817866</v>
      </c>
      <c r="F43" s="156">
        <v>278.67763404488926</v>
      </c>
      <c r="G43" s="156">
        <v>238.2992455032894</v>
      </c>
      <c r="H43" s="156">
        <v>35466.209191448521</v>
      </c>
    </row>
    <row r="44" spans="1:8" ht="16.5">
      <c r="A44" s="135"/>
      <c r="B44" s="154">
        <v>29</v>
      </c>
      <c r="C44" s="155">
        <v>42887</v>
      </c>
      <c r="D44" s="156">
        <v>35466.209191448521</v>
      </c>
      <c r="E44" s="156">
        <v>516.97687954817866</v>
      </c>
      <c r="F44" s="156">
        <v>280.53548493852185</v>
      </c>
      <c r="G44" s="156">
        <v>236.44139460965681</v>
      </c>
      <c r="H44" s="156">
        <v>35185.673706510002</v>
      </c>
    </row>
    <row r="45" spans="1:8" ht="16.5">
      <c r="A45" s="135"/>
      <c r="B45" s="154">
        <v>30</v>
      </c>
      <c r="C45" s="155">
        <v>42917</v>
      </c>
      <c r="D45" s="156">
        <v>35185.673706510002</v>
      </c>
      <c r="E45" s="156">
        <v>516.97687954817866</v>
      </c>
      <c r="F45" s="156">
        <v>282.40572150477863</v>
      </c>
      <c r="G45" s="156">
        <v>234.57115804340003</v>
      </c>
      <c r="H45" s="156">
        <v>34903.267985005223</v>
      </c>
    </row>
    <row r="46" spans="1:8" ht="16.5">
      <c r="A46" s="135"/>
      <c r="B46" s="154">
        <v>31</v>
      </c>
      <c r="C46" s="155">
        <v>42948</v>
      </c>
      <c r="D46" s="156">
        <v>34903.267985005223</v>
      </c>
      <c r="E46" s="156">
        <v>516.97687954817866</v>
      </c>
      <c r="F46" s="156">
        <v>284.28842631481052</v>
      </c>
      <c r="G46" s="156">
        <v>232.68845323336816</v>
      </c>
      <c r="H46" s="156">
        <v>34618.979558690422</v>
      </c>
    </row>
    <row r="47" spans="1:8" ht="16.5">
      <c r="A47" s="135"/>
      <c r="B47" s="154">
        <v>32</v>
      </c>
      <c r="C47" s="155">
        <v>42979</v>
      </c>
      <c r="D47" s="156">
        <v>34618.979558690422</v>
      </c>
      <c r="E47" s="156">
        <v>516.97687954817866</v>
      </c>
      <c r="F47" s="156">
        <v>286.18368249024252</v>
      </c>
      <c r="G47" s="156">
        <v>230.79319705793617</v>
      </c>
      <c r="H47" s="156">
        <v>34332.79587620018</v>
      </c>
    </row>
    <row r="48" spans="1:8" ht="16.5">
      <c r="A48" s="135"/>
      <c r="B48" s="154">
        <v>33</v>
      </c>
      <c r="C48" s="155">
        <v>43009</v>
      </c>
      <c r="D48" s="156">
        <v>34332.79587620018</v>
      </c>
      <c r="E48" s="156">
        <v>516.97687954817866</v>
      </c>
      <c r="F48" s="156">
        <v>288.09157370684409</v>
      </c>
      <c r="G48" s="156">
        <v>228.88530584133454</v>
      </c>
      <c r="H48" s="156">
        <v>34044.704302493337</v>
      </c>
    </row>
    <row r="49" spans="1:8" ht="16.5">
      <c r="A49" s="135"/>
      <c r="B49" s="154">
        <v>34</v>
      </c>
      <c r="C49" s="155">
        <v>43040</v>
      </c>
      <c r="D49" s="156">
        <v>34044.704302493337</v>
      </c>
      <c r="E49" s="156">
        <v>516.97687954817866</v>
      </c>
      <c r="F49" s="156">
        <v>290.01218419822305</v>
      </c>
      <c r="G49" s="156">
        <v>226.9646953499556</v>
      </c>
      <c r="H49" s="156">
        <v>33754.692118295112</v>
      </c>
    </row>
    <row r="50" spans="1:8" ht="16.5">
      <c r="A50" s="135"/>
      <c r="B50" s="154">
        <v>35</v>
      </c>
      <c r="C50" s="155">
        <v>43070</v>
      </c>
      <c r="D50" s="156">
        <v>33754.692118295112</v>
      </c>
      <c r="E50" s="156">
        <v>516.97687954817866</v>
      </c>
      <c r="F50" s="156">
        <v>291.94559875954457</v>
      </c>
      <c r="G50" s="156">
        <v>225.03128078863409</v>
      </c>
      <c r="H50" s="156">
        <v>33462.746519535576</v>
      </c>
    </row>
    <row r="51" spans="1:8" ht="16.5">
      <c r="A51" s="135"/>
      <c r="B51" s="154">
        <v>36</v>
      </c>
      <c r="C51" s="155">
        <v>43101</v>
      </c>
      <c r="D51" s="156">
        <v>33462.746519535576</v>
      </c>
      <c r="E51" s="156">
        <v>516.97687954817866</v>
      </c>
      <c r="F51" s="156">
        <v>293.89190275127481</v>
      </c>
      <c r="G51" s="156">
        <v>223.08497679690385</v>
      </c>
      <c r="H51" s="156">
        <v>33168.854616784301</v>
      </c>
    </row>
    <row r="52" spans="1:8" ht="16.5">
      <c r="A52" s="135"/>
      <c r="B52" s="154">
        <v>37</v>
      </c>
      <c r="C52" s="155">
        <v>43132</v>
      </c>
      <c r="D52" s="156">
        <v>33168.854616784301</v>
      </c>
      <c r="E52" s="156">
        <v>516.97687954817866</v>
      </c>
      <c r="F52" s="156">
        <v>295.85118210294996</v>
      </c>
      <c r="G52" s="156">
        <v>221.1256974452287</v>
      </c>
      <c r="H52" s="156">
        <v>32873.003434681348</v>
      </c>
    </row>
    <row r="53" spans="1:8" ht="16.5">
      <c r="A53" s="135"/>
      <c r="B53" s="154">
        <v>38</v>
      </c>
      <c r="C53" s="155">
        <v>43160</v>
      </c>
      <c r="D53" s="156">
        <v>32873.003434681348</v>
      </c>
      <c r="E53" s="156">
        <v>516.97687954817866</v>
      </c>
      <c r="F53" s="156">
        <v>297.82352331696967</v>
      </c>
      <c r="G53" s="156">
        <v>219.15335623120899</v>
      </c>
      <c r="H53" s="156">
        <v>32575.179911364379</v>
      </c>
    </row>
    <row r="54" spans="1:8" ht="16.5">
      <c r="A54" s="135"/>
      <c r="B54" s="154">
        <v>39</v>
      </c>
      <c r="C54" s="155">
        <v>43191</v>
      </c>
      <c r="D54" s="156">
        <v>32575.179911364379</v>
      </c>
      <c r="E54" s="156">
        <v>516.97687954817866</v>
      </c>
      <c r="F54" s="156">
        <v>299.80901347241615</v>
      </c>
      <c r="G54" s="156">
        <v>217.16786607576253</v>
      </c>
      <c r="H54" s="156">
        <v>32275.370897891975</v>
      </c>
    </row>
    <row r="55" spans="1:8" ht="16.5">
      <c r="A55" s="135"/>
      <c r="B55" s="154">
        <v>40</v>
      </c>
      <c r="C55" s="155">
        <v>43221</v>
      </c>
      <c r="D55" s="156">
        <v>32275.370897891975</v>
      </c>
      <c r="E55" s="156">
        <v>516.97687954817866</v>
      </c>
      <c r="F55" s="156">
        <v>301.80774022889881</v>
      </c>
      <c r="G55" s="156">
        <v>215.16913931927985</v>
      </c>
      <c r="H55" s="156">
        <v>31973.563157663073</v>
      </c>
    </row>
    <row r="56" spans="1:8" ht="16.5">
      <c r="A56" s="135"/>
      <c r="B56" s="154">
        <v>41</v>
      </c>
      <c r="C56" s="155">
        <v>43252</v>
      </c>
      <c r="D56" s="156">
        <v>31973.563157663073</v>
      </c>
      <c r="E56" s="156">
        <v>516.97687954817866</v>
      </c>
      <c r="F56" s="156">
        <v>303.81979183042483</v>
      </c>
      <c r="G56" s="156">
        <v>213.15708771775383</v>
      </c>
      <c r="H56" s="156">
        <v>31669.743365832655</v>
      </c>
    </row>
    <row r="57" spans="1:8" ht="16.5">
      <c r="A57" s="135"/>
      <c r="B57" s="154">
        <v>42</v>
      </c>
      <c r="C57" s="155">
        <v>43282</v>
      </c>
      <c r="D57" s="156">
        <v>31669.743365832655</v>
      </c>
      <c r="E57" s="156">
        <v>516.97687954817866</v>
      </c>
      <c r="F57" s="156">
        <v>305.84525710929427</v>
      </c>
      <c r="G57" s="156">
        <v>211.13162243888439</v>
      </c>
      <c r="H57" s="156">
        <v>31363.898108723359</v>
      </c>
    </row>
    <row r="58" spans="1:8" ht="16.5">
      <c r="A58" s="135"/>
      <c r="B58" s="154">
        <v>43</v>
      </c>
      <c r="C58" s="155">
        <v>43313</v>
      </c>
      <c r="D58" s="156">
        <v>31363.898108723359</v>
      </c>
      <c r="E58" s="156">
        <v>516.97687954817866</v>
      </c>
      <c r="F58" s="156">
        <v>307.88422549002291</v>
      </c>
      <c r="G58" s="156">
        <v>209.09265405815574</v>
      </c>
      <c r="H58" s="156">
        <v>31056.013883233336</v>
      </c>
    </row>
    <row r="59" spans="1:8" ht="16.5">
      <c r="A59" s="135"/>
      <c r="B59" s="154">
        <v>44</v>
      </c>
      <c r="C59" s="155">
        <v>43344</v>
      </c>
      <c r="D59" s="156">
        <v>31056.013883233336</v>
      </c>
      <c r="E59" s="156">
        <v>516.97687954817866</v>
      </c>
      <c r="F59" s="156">
        <v>309.93678699328973</v>
      </c>
      <c r="G59" s="156">
        <v>207.04009255488893</v>
      </c>
      <c r="H59" s="156">
        <v>30746.077096240053</v>
      </c>
    </row>
    <row r="60" spans="1:8" ht="16.5">
      <c r="A60" s="135"/>
      <c r="B60" s="154">
        <v>45</v>
      </c>
      <c r="C60" s="155">
        <v>43374</v>
      </c>
      <c r="D60" s="156">
        <v>30746.077096240053</v>
      </c>
      <c r="E60" s="156">
        <v>516.97687954817866</v>
      </c>
      <c r="F60" s="156">
        <v>312.00303223991159</v>
      </c>
      <c r="G60" s="156">
        <v>204.97384730826704</v>
      </c>
      <c r="H60" s="156">
        <v>30434.074064000142</v>
      </c>
    </row>
    <row r="61" spans="1:8" ht="16.5">
      <c r="A61" s="135"/>
      <c r="B61" s="154">
        <v>46</v>
      </c>
      <c r="C61" s="155">
        <v>43405</v>
      </c>
      <c r="D61" s="156">
        <v>30434.074064000142</v>
      </c>
      <c r="E61" s="156">
        <v>516.97687954817866</v>
      </c>
      <c r="F61" s="156">
        <v>314.08305245484439</v>
      </c>
      <c r="G61" s="156">
        <v>202.89382709333429</v>
      </c>
      <c r="H61" s="156">
        <v>30119.991011545306</v>
      </c>
    </row>
    <row r="62" spans="1:8" ht="16.5">
      <c r="A62" s="135"/>
      <c r="B62" s="154">
        <v>47</v>
      </c>
      <c r="C62" s="155">
        <v>43435</v>
      </c>
      <c r="D62" s="156">
        <v>30119.991011545306</v>
      </c>
      <c r="E62" s="156">
        <v>516.97687954817866</v>
      </c>
      <c r="F62" s="156">
        <v>316.17693947120995</v>
      </c>
      <c r="G62" s="156">
        <v>200.79994007696871</v>
      </c>
      <c r="H62" s="156">
        <v>29803.814072074099</v>
      </c>
    </row>
    <row r="63" spans="1:8" ht="16.5">
      <c r="A63" s="135"/>
      <c r="B63" s="154">
        <v>48</v>
      </c>
      <c r="C63" s="155">
        <v>43466</v>
      </c>
      <c r="D63" s="156">
        <v>29803.814072074099</v>
      </c>
      <c r="E63" s="156">
        <v>516.97687954817866</v>
      </c>
      <c r="F63" s="156">
        <v>318.28478573435132</v>
      </c>
      <c r="G63" s="156">
        <v>198.69209381382734</v>
      </c>
      <c r="H63" s="156">
        <v>29485.529286339744</v>
      </c>
    </row>
    <row r="64" spans="1:8" ht="16.5">
      <c r="A64" s="135"/>
      <c r="B64" s="154">
        <v>49</v>
      </c>
      <c r="C64" s="155">
        <v>43497</v>
      </c>
      <c r="D64" s="156">
        <v>29485.529286339744</v>
      </c>
      <c r="E64" s="156">
        <v>516.97687954817866</v>
      </c>
      <c r="F64" s="156">
        <v>320.4066843059137</v>
      </c>
      <c r="G64" s="156">
        <v>196.57019524226499</v>
      </c>
      <c r="H64" s="156">
        <v>29165.122602033833</v>
      </c>
    </row>
    <row r="65" spans="1:8" ht="16.5">
      <c r="A65" s="135"/>
      <c r="B65" s="154">
        <v>50</v>
      </c>
      <c r="C65" s="155">
        <v>43525</v>
      </c>
      <c r="D65" s="156">
        <v>29165.122602033833</v>
      </c>
      <c r="E65" s="156">
        <v>516.97687954817866</v>
      </c>
      <c r="F65" s="156">
        <v>322.54272886795309</v>
      </c>
      <c r="G65" s="156">
        <v>194.43415068022557</v>
      </c>
      <c r="H65" s="156">
        <v>28842.579873165883</v>
      </c>
    </row>
    <row r="66" spans="1:8" ht="16.5">
      <c r="A66" s="135"/>
      <c r="B66" s="154">
        <v>51</v>
      </c>
      <c r="C66" s="155">
        <v>43556</v>
      </c>
      <c r="D66" s="156">
        <v>28842.579873165883</v>
      </c>
      <c r="E66" s="156">
        <v>516.97687954817866</v>
      </c>
      <c r="F66" s="156">
        <v>324.69301372707275</v>
      </c>
      <c r="G66" s="156">
        <v>192.28386582110591</v>
      </c>
      <c r="H66" s="156">
        <v>28517.886859438811</v>
      </c>
    </row>
    <row r="67" spans="1:8" ht="16.5">
      <c r="A67" s="135"/>
      <c r="B67" s="154">
        <v>52</v>
      </c>
      <c r="C67" s="155">
        <v>43586</v>
      </c>
      <c r="D67" s="156">
        <v>28517.886859438811</v>
      </c>
      <c r="E67" s="156">
        <v>516.97687954817866</v>
      </c>
      <c r="F67" s="156">
        <v>326.85763381858658</v>
      </c>
      <c r="G67" s="156">
        <v>190.11924572959208</v>
      </c>
      <c r="H67" s="156">
        <v>28191.029225620234</v>
      </c>
    </row>
    <row r="68" spans="1:8" ht="16.5">
      <c r="A68" s="135"/>
      <c r="B68" s="154">
        <v>53</v>
      </c>
      <c r="C68" s="155">
        <v>43617</v>
      </c>
      <c r="D68" s="156">
        <v>28191.029225620234</v>
      </c>
      <c r="E68" s="156">
        <v>516.97687954817866</v>
      </c>
      <c r="F68" s="156">
        <v>329.03668471071046</v>
      </c>
      <c r="G68" s="156">
        <v>187.94019483746823</v>
      </c>
      <c r="H68" s="156">
        <v>27861.992540909523</v>
      </c>
    </row>
    <row r="69" spans="1:8" ht="16.5">
      <c r="A69" s="135"/>
      <c r="B69" s="154">
        <v>54</v>
      </c>
      <c r="C69" s="155">
        <v>43647</v>
      </c>
      <c r="D69" s="156">
        <v>27861.992540909523</v>
      </c>
      <c r="E69" s="156">
        <v>516.97687954817866</v>
      </c>
      <c r="F69" s="156">
        <v>331.2302626087818</v>
      </c>
      <c r="G69" s="156">
        <v>185.74661693939683</v>
      </c>
      <c r="H69" s="156">
        <v>27530.762278300739</v>
      </c>
    </row>
    <row r="70" spans="1:8" ht="16.5">
      <c r="A70" s="135"/>
      <c r="B70" s="154">
        <v>55</v>
      </c>
      <c r="C70" s="155">
        <v>43678</v>
      </c>
      <c r="D70" s="156">
        <v>27530.762278300739</v>
      </c>
      <c r="E70" s="156">
        <v>516.97687954817866</v>
      </c>
      <c r="F70" s="156">
        <v>333.43846435950707</v>
      </c>
      <c r="G70" s="156">
        <v>183.53841518867159</v>
      </c>
      <c r="H70" s="156">
        <v>27197.323813941242</v>
      </c>
    </row>
    <row r="71" spans="1:8" ht="16.5">
      <c r="A71" s="135"/>
      <c r="B71" s="154">
        <v>56</v>
      </c>
      <c r="C71" s="155">
        <v>43709</v>
      </c>
      <c r="D71" s="156">
        <v>27197.323813941242</v>
      </c>
      <c r="E71" s="156">
        <v>516.97687954817866</v>
      </c>
      <c r="F71" s="156">
        <v>335.66138745523699</v>
      </c>
      <c r="G71" s="156">
        <v>181.31549209294164</v>
      </c>
      <c r="H71" s="156">
        <v>26861.662426485993</v>
      </c>
    </row>
    <row r="72" spans="1:8" ht="16.5">
      <c r="A72" s="135"/>
      <c r="B72" s="154">
        <v>57</v>
      </c>
      <c r="C72" s="155">
        <v>43739</v>
      </c>
      <c r="D72" s="156">
        <v>26861.662426485993</v>
      </c>
      <c r="E72" s="156">
        <v>516.97687954817866</v>
      </c>
      <c r="F72" s="156">
        <v>337.89913003827201</v>
      </c>
      <c r="G72" s="156">
        <v>179.07774950990662</v>
      </c>
      <c r="H72" s="156">
        <v>26523.763296447738</v>
      </c>
    </row>
    <row r="73" spans="1:8" ht="16.5">
      <c r="A73" s="135"/>
      <c r="B73" s="154">
        <v>58</v>
      </c>
      <c r="C73" s="155">
        <v>43770</v>
      </c>
      <c r="D73" s="156">
        <v>26523.763296447738</v>
      </c>
      <c r="E73" s="156">
        <v>516.97687954817866</v>
      </c>
      <c r="F73" s="156">
        <v>340.15179090519371</v>
      </c>
      <c r="G73" s="156">
        <v>176.82508864298492</v>
      </c>
      <c r="H73" s="156">
        <v>26183.61150554254</v>
      </c>
    </row>
    <row r="74" spans="1:8" ht="16.5">
      <c r="A74" s="135"/>
      <c r="B74" s="154">
        <v>59</v>
      </c>
      <c r="C74" s="155">
        <v>43800</v>
      </c>
      <c r="D74" s="156">
        <v>26183.61150554254</v>
      </c>
      <c r="E74" s="156">
        <v>516.97687954817866</v>
      </c>
      <c r="F74" s="156">
        <v>342.41946951122839</v>
      </c>
      <c r="G74" s="156">
        <v>174.55741003695027</v>
      </c>
      <c r="H74" s="156">
        <v>25841.192036031316</v>
      </c>
    </row>
    <row r="75" spans="1:8" ht="16.5">
      <c r="A75" s="135"/>
      <c r="B75" s="154">
        <v>60</v>
      </c>
      <c r="C75" s="155">
        <v>43831</v>
      </c>
      <c r="D75" s="156">
        <v>25841.192036031316</v>
      </c>
      <c r="E75" s="156">
        <v>516.97687954817866</v>
      </c>
      <c r="F75" s="156">
        <v>344.70226597463653</v>
      </c>
      <c r="G75" s="156">
        <v>172.27461357354213</v>
      </c>
      <c r="H75" s="156">
        <v>25496.489770056687</v>
      </c>
    </row>
    <row r="76" spans="1:8" ht="16.5">
      <c r="A76" s="135"/>
      <c r="B76" s="157">
        <v>61</v>
      </c>
      <c r="C76" s="155">
        <v>43862</v>
      </c>
      <c r="D76" s="156">
        <v>25496.489770056687</v>
      </c>
      <c r="E76" s="156">
        <v>516.97687954817866</v>
      </c>
      <c r="F76" s="156">
        <v>347.00028108113406</v>
      </c>
      <c r="G76" s="156">
        <v>169.9765984670446</v>
      </c>
      <c r="H76" s="158">
        <v>25149.489488975552</v>
      </c>
    </row>
    <row r="77" spans="1:8" ht="16.5">
      <c r="A77" s="135"/>
      <c r="B77" s="157">
        <v>62</v>
      </c>
      <c r="C77" s="155">
        <v>43891</v>
      </c>
      <c r="D77" s="156">
        <v>25149.489488975552</v>
      </c>
      <c r="E77" s="156">
        <v>516.97687954817866</v>
      </c>
      <c r="F77" s="156">
        <v>349.31361628834162</v>
      </c>
      <c r="G77" s="156">
        <v>167.66326325983704</v>
      </c>
      <c r="H77" s="158">
        <v>24800.175872687214</v>
      </c>
    </row>
    <row r="78" spans="1:8" ht="16.5">
      <c r="A78" s="135"/>
      <c r="B78" s="157">
        <v>63</v>
      </c>
      <c r="C78" s="155">
        <v>43922</v>
      </c>
      <c r="D78" s="156">
        <v>24800.175872687214</v>
      </c>
      <c r="E78" s="156">
        <v>516.97687954817866</v>
      </c>
      <c r="F78" s="156">
        <v>351.6423737302639</v>
      </c>
      <c r="G78" s="156">
        <v>165.33450581791476</v>
      </c>
      <c r="H78" s="158">
        <v>24448.53349895696</v>
      </c>
    </row>
    <row r="79" spans="1:8" ht="16.5">
      <c r="A79" s="135"/>
      <c r="B79" s="157">
        <v>64</v>
      </c>
      <c r="C79" s="155">
        <v>43952</v>
      </c>
      <c r="D79" s="156">
        <v>24448.53349895696</v>
      </c>
      <c r="E79" s="156">
        <v>516.97687954817866</v>
      </c>
      <c r="F79" s="156">
        <v>353.98665622179891</v>
      </c>
      <c r="G79" s="156">
        <v>162.99022332637975</v>
      </c>
      <c r="H79" s="158">
        <v>24094.546842735159</v>
      </c>
    </row>
    <row r="80" spans="1:8" ht="16.5">
      <c r="A80" s="135"/>
      <c r="B80" s="157">
        <v>65</v>
      </c>
      <c r="C80" s="155">
        <v>43983</v>
      </c>
      <c r="D80" s="156">
        <v>24094.546842735159</v>
      </c>
      <c r="E80" s="156">
        <v>516.97687954817866</v>
      </c>
      <c r="F80" s="156">
        <v>356.34656726327762</v>
      </c>
      <c r="G80" s="156">
        <v>160.63031228490107</v>
      </c>
      <c r="H80" s="158">
        <v>23738.200275471892</v>
      </c>
    </row>
    <row r="81" spans="1:8" ht="16.5">
      <c r="A81" s="135"/>
      <c r="B81" s="157">
        <v>66</v>
      </c>
      <c r="C81" s="155">
        <v>44013</v>
      </c>
      <c r="D81" s="156">
        <v>23738.200275471892</v>
      </c>
      <c r="E81" s="156">
        <v>516.97687954817866</v>
      </c>
      <c r="F81" s="156">
        <v>358.72221104503274</v>
      </c>
      <c r="G81" s="156">
        <v>158.25466850314595</v>
      </c>
      <c r="H81" s="158">
        <v>23379.478064426861</v>
      </c>
    </row>
    <row r="82" spans="1:8" ht="16.5">
      <c r="A82" s="135"/>
      <c r="B82" s="157">
        <v>67</v>
      </c>
      <c r="C82" s="155">
        <v>44044</v>
      </c>
      <c r="D82" s="156">
        <v>23379.478064426861</v>
      </c>
      <c r="E82" s="156">
        <v>516.97687954817866</v>
      </c>
      <c r="F82" s="156">
        <v>361.11369245199955</v>
      </c>
      <c r="G82" s="156">
        <v>155.86318709617908</v>
      </c>
      <c r="H82" s="158">
        <v>23018.364371974858</v>
      </c>
    </row>
    <row r="83" spans="1:8" ht="16.5">
      <c r="A83" s="135"/>
      <c r="B83" s="157">
        <v>68</v>
      </c>
      <c r="C83" s="155">
        <v>44075</v>
      </c>
      <c r="D83" s="156">
        <v>23018.364371974858</v>
      </c>
      <c r="E83" s="156">
        <v>516.97687954817866</v>
      </c>
      <c r="F83" s="156">
        <v>363.52111706834626</v>
      </c>
      <c r="G83" s="156">
        <v>153.4557624798324</v>
      </c>
      <c r="H83" s="158">
        <v>22654.843254906511</v>
      </c>
    </row>
    <row r="84" spans="1:8" ht="16.5">
      <c r="A84" s="135"/>
      <c r="B84" s="157">
        <v>69</v>
      </c>
      <c r="C84" s="155">
        <v>44105</v>
      </c>
      <c r="D84" s="156">
        <v>22654.843254906511</v>
      </c>
      <c r="E84" s="156">
        <v>516.97687954817866</v>
      </c>
      <c r="F84" s="156">
        <v>365.94459118213524</v>
      </c>
      <c r="G84" s="156">
        <v>151.03228836604342</v>
      </c>
      <c r="H84" s="158">
        <v>22288.898663724394</v>
      </c>
    </row>
    <row r="85" spans="1:8" ht="16.5">
      <c r="A85" s="135"/>
      <c r="B85" s="157">
        <v>70</v>
      </c>
      <c r="C85" s="155">
        <v>44136</v>
      </c>
      <c r="D85" s="156">
        <v>22288.898663724394</v>
      </c>
      <c r="E85" s="156">
        <v>516.97687954817866</v>
      </c>
      <c r="F85" s="156">
        <v>368.384221790016</v>
      </c>
      <c r="G85" s="156">
        <v>148.59265775816263</v>
      </c>
      <c r="H85" s="158">
        <v>21920.514441934363</v>
      </c>
    </row>
    <row r="86" spans="1:8" ht="16.5">
      <c r="A86" s="135"/>
      <c r="B86" s="157">
        <v>71</v>
      </c>
      <c r="C86" s="155">
        <v>44166</v>
      </c>
      <c r="D86" s="156">
        <v>21920.514441934363</v>
      </c>
      <c r="E86" s="156">
        <v>516.97687954817866</v>
      </c>
      <c r="F86" s="156">
        <v>370.84011660194955</v>
      </c>
      <c r="G86" s="156">
        <v>146.13676294622911</v>
      </c>
      <c r="H86" s="158">
        <v>21549.674325332417</v>
      </c>
    </row>
    <row r="87" spans="1:8" ht="16.5">
      <c r="A87" s="135"/>
      <c r="B87" s="157">
        <v>72</v>
      </c>
      <c r="C87" s="155">
        <v>44197</v>
      </c>
      <c r="D87" s="156">
        <v>21549.674325332417</v>
      </c>
      <c r="E87" s="156">
        <v>516.97687954817866</v>
      </c>
      <c r="F87" s="156">
        <v>373.31238404596252</v>
      </c>
      <c r="G87" s="156">
        <v>143.66449550221611</v>
      </c>
      <c r="H87" s="158">
        <v>21176.361941286472</v>
      </c>
    </row>
    <row r="88" spans="1:8" ht="16.5">
      <c r="A88" s="135"/>
      <c r="B88" s="157">
        <v>73</v>
      </c>
      <c r="C88" s="155">
        <v>44228</v>
      </c>
      <c r="D88" s="156">
        <v>21176.361941286472</v>
      </c>
      <c r="E88" s="156">
        <v>516.97687954817866</v>
      </c>
      <c r="F88" s="156">
        <v>375.80113327293554</v>
      </c>
      <c r="G88" s="156">
        <v>141.17574627524314</v>
      </c>
      <c r="H88" s="158">
        <v>20800.560808013543</v>
      </c>
    </row>
    <row r="89" spans="1:8" ht="16.5">
      <c r="A89" s="135"/>
      <c r="B89" s="157">
        <v>74</v>
      </c>
      <c r="C89" s="155">
        <v>44256</v>
      </c>
      <c r="D89" s="156">
        <v>20800.560808013543</v>
      </c>
      <c r="E89" s="156">
        <v>516.97687954817866</v>
      </c>
      <c r="F89" s="156">
        <v>378.3064741614217</v>
      </c>
      <c r="G89" s="156">
        <v>138.67040538675695</v>
      </c>
      <c r="H89" s="158">
        <v>20422.254333852121</v>
      </c>
    </row>
    <row r="90" spans="1:8" ht="16.5">
      <c r="A90" s="135"/>
      <c r="B90" s="157">
        <v>75</v>
      </c>
      <c r="C90" s="155">
        <v>44287</v>
      </c>
      <c r="D90" s="156">
        <v>20422.254333852121</v>
      </c>
      <c r="E90" s="156">
        <v>516.97687954817866</v>
      </c>
      <c r="F90" s="156">
        <v>380.82851732249787</v>
      </c>
      <c r="G90" s="156">
        <v>136.14836222568081</v>
      </c>
      <c r="H90" s="158">
        <v>20041.42581652962</v>
      </c>
    </row>
    <row r="91" spans="1:8" ht="16.5">
      <c r="A91" s="135"/>
      <c r="B91" s="157">
        <v>76</v>
      </c>
      <c r="C91" s="155">
        <v>44317</v>
      </c>
      <c r="D91" s="156">
        <v>20041.42581652962</v>
      </c>
      <c r="E91" s="156">
        <v>516.97687954817866</v>
      </c>
      <c r="F91" s="156">
        <v>383.36737410464787</v>
      </c>
      <c r="G91" s="156">
        <v>133.60950544353079</v>
      </c>
      <c r="H91" s="158">
        <v>19658.058442424968</v>
      </c>
    </row>
    <row r="92" spans="1:8" ht="16.5">
      <c r="A92" s="135"/>
      <c r="B92" s="157">
        <v>77</v>
      </c>
      <c r="C92" s="155">
        <v>44348</v>
      </c>
      <c r="D92" s="156">
        <v>19658.058442424968</v>
      </c>
      <c r="E92" s="156">
        <v>516.97687954817866</v>
      </c>
      <c r="F92" s="156">
        <v>385.92315659867887</v>
      </c>
      <c r="G92" s="156">
        <v>131.05372294949979</v>
      </c>
      <c r="H92" s="158">
        <v>19272.135285826305</v>
      </c>
    </row>
    <row r="93" spans="1:8" ht="16.5">
      <c r="A93" s="135"/>
      <c r="B93" s="157">
        <v>78</v>
      </c>
      <c r="C93" s="155">
        <v>44378</v>
      </c>
      <c r="D93" s="156">
        <v>19272.135285826305</v>
      </c>
      <c r="E93" s="156">
        <v>516.97687954817866</v>
      </c>
      <c r="F93" s="156">
        <v>388.49597764266991</v>
      </c>
      <c r="G93" s="156">
        <v>128.48090190550872</v>
      </c>
      <c r="H93" s="158">
        <v>18883.639308183636</v>
      </c>
    </row>
    <row r="94" spans="1:8" ht="16.5">
      <c r="A94" s="135"/>
      <c r="B94" s="157">
        <v>79</v>
      </c>
      <c r="C94" s="155">
        <v>44409</v>
      </c>
      <c r="D94" s="156">
        <v>18883.639308183636</v>
      </c>
      <c r="E94" s="156">
        <v>516.97687954817866</v>
      </c>
      <c r="F94" s="156">
        <v>391.08595082695444</v>
      </c>
      <c r="G94" s="156">
        <v>125.89092872122424</v>
      </c>
      <c r="H94" s="158">
        <v>18492.553357356679</v>
      </c>
    </row>
    <row r="95" spans="1:8" ht="16.5">
      <c r="A95" s="135"/>
      <c r="B95" s="157">
        <v>80</v>
      </c>
      <c r="C95" s="155">
        <v>44440</v>
      </c>
      <c r="D95" s="156">
        <v>18492.553357356679</v>
      </c>
      <c r="E95" s="156">
        <v>516.97687954817866</v>
      </c>
      <c r="F95" s="156">
        <v>393.69319049913412</v>
      </c>
      <c r="G95" s="156">
        <v>123.28368904904454</v>
      </c>
      <c r="H95" s="158">
        <v>18098.860166857543</v>
      </c>
    </row>
    <row r="96" spans="1:8" ht="16.5">
      <c r="A96" s="135"/>
      <c r="B96" s="157">
        <v>81</v>
      </c>
      <c r="C96" s="155">
        <v>44470</v>
      </c>
      <c r="D96" s="156">
        <v>18098.860166857543</v>
      </c>
      <c r="E96" s="156">
        <v>516.97687954817866</v>
      </c>
      <c r="F96" s="156">
        <v>396.31781176912835</v>
      </c>
      <c r="G96" s="156">
        <v>120.65906777905029</v>
      </c>
      <c r="H96" s="158">
        <v>17702.542355088415</v>
      </c>
    </row>
    <row r="97" spans="1:8" ht="16.5">
      <c r="A97" s="135"/>
      <c r="B97" s="157">
        <v>82</v>
      </c>
      <c r="C97" s="155">
        <v>44501</v>
      </c>
      <c r="D97" s="156">
        <v>17702.542355088415</v>
      </c>
      <c r="E97" s="156">
        <v>516.97687954817866</v>
      </c>
      <c r="F97" s="156">
        <v>398.95993051425592</v>
      </c>
      <c r="G97" s="156">
        <v>118.01694903392277</v>
      </c>
      <c r="H97" s="158">
        <v>17303.582424574175</v>
      </c>
    </row>
    <row r="98" spans="1:8" ht="16.5">
      <c r="A98" s="135"/>
      <c r="B98" s="157">
        <v>83</v>
      </c>
      <c r="C98" s="155">
        <v>44531</v>
      </c>
      <c r="D98" s="156">
        <v>17303.582424574175</v>
      </c>
      <c r="E98" s="156">
        <v>516.97687954817866</v>
      </c>
      <c r="F98" s="156">
        <v>401.61966338435082</v>
      </c>
      <c r="G98" s="156">
        <v>115.35721616382784</v>
      </c>
      <c r="H98" s="158">
        <v>16901.962761189832</v>
      </c>
    </row>
    <row r="99" spans="1:8" ht="16.5">
      <c r="A99" s="135"/>
      <c r="B99" s="157">
        <v>84</v>
      </c>
      <c r="C99" s="155">
        <v>44562</v>
      </c>
      <c r="D99" s="156">
        <v>16901.962761189832</v>
      </c>
      <c r="E99" s="156">
        <v>516.97687954817866</v>
      </c>
      <c r="F99" s="156">
        <v>404.29712780691307</v>
      </c>
      <c r="G99" s="156">
        <v>112.67975174126556</v>
      </c>
      <c r="H99" s="158">
        <v>16497.665633382916</v>
      </c>
    </row>
    <row r="100" spans="1:8" ht="16.5">
      <c r="A100" s="135"/>
      <c r="B100" s="157">
        <v>85</v>
      </c>
      <c r="C100" s="155">
        <v>44593</v>
      </c>
      <c r="D100" s="156">
        <v>16497.665633382916</v>
      </c>
      <c r="E100" s="156">
        <v>516.97687954817866</v>
      </c>
      <c r="F100" s="156">
        <v>406.99244199229253</v>
      </c>
      <c r="G100" s="156">
        <v>109.98443755588612</v>
      </c>
      <c r="H100" s="158">
        <v>16090.673191390626</v>
      </c>
    </row>
    <row r="101" spans="1:8" ht="16.5">
      <c r="A101" s="135"/>
      <c r="B101" s="157">
        <v>86</v>
      </c>
      <c r="C101" s="155">
        <v>44621</v>
      </c>
      <c r="D101" s="156">
        <v>16090.673191390626</v>
      </c>
      <c r="E101" s="156">
        <v>516.97687954817866</v>
      </c>
      <c r="F101" s="156">
        <v>409.70572493890779</v>
      </c>
      <c r="G101" s="156">
        <v>107.27115460927085</v>
      </c>
      <c r="H101" s="158">
        <v>15680.967466451715</v>
      </c>
    </row>
    <row r="102" spans="1:8" ht="16.5">
      <c r="A102" s="135"/>
      <c r="B102" s="157">
        <v>87</v>
      </c>
      <c r="C102" s="155">
        <v>44652</v>
      </c>
      <c r="D102" s="156">
        <v>15680.967466451715</v>
      </c>
      <c r="E102" s="156">
        <v>516.97687954817866</v>
      </c>
      <c r="F102" s="156">
        <v>412.43709643850053</v>
      </c>
      <c r="G102" s="156">
        <v>104.53978310967811</v>
      </c>
      <c r="H102" s="158">
        <v>15268.530370013228</v>
      </c>
    </row>
    <row r="103" spans="1:8" ht="16.5">
      <c r="A103" s="135"/>
      <c r="B103" s="157">
        <v>88</v>
      </c>
      <c r="C103" s="155">
        <v>44682</v>
      </c>
      <c r="D103" s="156">
        <v>15268.530370013228</v>
      </c>
      <c r="E103" s="156">
        <v>516.97687954817866</v>
      </c>
      <c r="F103" s="156">
        <v>415.1866770814238</v>
      </c>
      <c r="G103" s="156">
        <v>101.79020246675486</v>
      </c>
      <c r="H103" s="158">
        <v>14853.343692931798</v>
      </c>
    </row>
    <row r="104" spans="1:8" ht="16.5">
      <c r="A104" s="135"/>
      <c r="B104" s="157">
        <v>89</v>
      </c>
      <c r="C104" s="155">
        <v>44713</v>
      </c>
      <c r="D104" s="156">
        <v>14853.343692931798</v>
      </c>
      <c r="E104" s="156">
        <v>516.97687954817866</v>
      </c>
      <c r="F104" s="156">
        <v>417.95458826196665</v>
      </c>
      <c r="G104" s="156">
        <v>99.022291286211995</v>
      </c>
      <c r="H104" s="158">
        <v>14435.389104669848</v>
      </c>
    </row>
    <row r="105" spans="1:8" ht="16.5">
      <c r="A105" s="135"/>
      <c r="B105" s="157">
        <v>90</v>
      </c>
      <c r="C105" s="155">
        <v>44743</v>
      </c>
      <c r="D105" s="156">
        <v>14435.389104669848</v>
      </c>
      <c r="E105" s="156">
        <v>516.97687954817866</v>
      </c>
      <c r="F105" s="156">
        <v>420.74095218371298</v>
      </c>
      <c r="G105" s="156">
        <v>96.235927364465667</v>
      </c>
      <c r="H105" s="158">
        <v>14014.648152486123</v>
      </c>
    </row>
    <row r="106" spans="1:8" ht="16.5">
      <c r="A106" s="135"/>
      <c r="B106" s="157">
        <v>91</v>
      </c>
      <c r="C106" s="155">
        <v>44774</v>
      </c>
      <c r="D106" s="156">
        <v>14014.648152486123</v>
      </c>
      <c r="E106" s="156">
        <v>516.97687954817866</v>
      </c>
      <c r="F106" s="156">
        <v>423.54589186493786</v>
      </c>
      <c r="G106" s="156">
        <v>93.430987683240829</v>
      </c>
      <c r="H106" s="158">
        <v>13591.102260621199</v>
      </c>
    </row>
    <row r="107" spans="1:8" ht="16.5">
      <c r="A107" s="135"/>
      <c r="B107" s="157">
        <v>92</v>
      </c>
      <c r="C107" s="155">
        <v>44805</v>
      </c>
      <c r="D107" s="156">
        <v>13591.102260621199</v>
      </c>
      <c r="E107" s="156">
        <v>516.97687954817866</v>
      </c>
      <c r="F107" s="156">
        <v>426.3695311440373</v>
      </c>
      <c r="G107" s="156">
        <v>90.607348404141334</v>
      </c>
      <c r="H107" s="158">
        <v>13164.73272947716</v>
      </c>
    </row>
    <row r="108" spans="1:8" ht="16.5">
      <c r="A108" s="135"/>
      <c r="B108" s="157">
        <v>93</v>
      </c>
      <c r="C108" s="155">
        <v>44835</v>
      </c>
      <c r="D108" s="156">
        <v>13164.73272947716</v>
      </c>
      <c r="E108" s="156">
        <v>516.97687954817866</v>
      </c>
      <c r="F108" s="156">
        <v>429.21199468499759</v>
      </c>
      <c r="G108" s="156">
        <v>87.764884863181081</v>
      </c>
      <c r="H108" s="158">
        <v>12735.520734792182</v>
      </c>
    </row>
    <row r="109" spans="1:8" ht="16.5">
      <c r="A109" s="135"/>
      <c r="B109" s="157">
        <v>94</v>
      </c>
      <c r="C109" s="155">
        <v>44866</v>
      </c>
      <c r="D109" s="156">
        <v>12735.520734792182</v>
      </c>
      <c r="E109" s="156">
        <v>516.97687954817866</v>
      </c>
      <c r="F109" s="156">
        <v>432.07340798289744</v>
      </c>
      <c r="G109" s="156">
        <v>84.903471565281222</v>
      </c>
      <c r="H109" s="158">
        <v>12303.44732680927</v>
      </c>
    </row>
    <row r="110" spans="1:8" ht="16.5">
      <c r="A110" s="135"/>
      <c r="B110" s="157">
        <v>95</v>
      </c>
      <c r="C110" s="155">
        <v>44896</v>
      </c>
      <c r="D110" s="156">
        <v>12303.44732680927</v>
      </c>
      <c r="E110" s="156">
        <v>516.97687954817866</v>
      </c>
      <c r="F110" s="156">
        <v>434.9538973694502</v>
      </c>
      <c r="G110" s="156">
        <v>82.022982178728469</v>
      </c>
      <c r="H110" s="158">
        <v>11868.493429439841</v>
      </c>
    </row>
    <row r="111" spans="1:8" ht="16.5">
      <c r="A111" s="135"/>
      <c r="B111" s="157">
        <v>96</v>
      </c>
      <c r="C111" s="155">
        <v>44927</v>
      </c>
      <c r="D111" s="156">
        <v>11868.493429439841</v>
      </c>
      <c r="E111" s="156">
        <v>516.97687954817866</v>
      </c>
      <c r="F111" s="156">
        <v>437.85359001857972</v>
      </c>
      <c r="G111" s="156">
        <v>79.123289529598949</v>
      </c>
      <c r="H111" s="158">
        <v>11430.639839421245</v>
      </c>
    </row>
    <row r="112" spans="1:8" ht="16.5">
      <c r="A112" s="135"/>
      <c r="B112" s="157">
        <v>97</v>
      </c>
      <c r="C112" s="155">
        <v>44958</v>
      </c>
      <c r="D112" s="156">
        <v>11430.639839421245</v>
      </c>
      <c r="E112" s="156">
        <v>516.97687954817866</v>
      </c>
      <c r="F112" s="156">
        <v>440.77261395203703</v>
      </c>
      <c r="G112" s="156">
        <v>76.204265596141639</v>
      </c>
      <c r="H112" s="158">
        <v>10989.867225469221</v>
      </c>
    </row>
    <row r="113" spans="1:8" ht="16.5">
      <c r="A113" s="135"/>
      <c r="B113" s="157">
        <v>98</v>
      </c>
      <c r="C113" s="155">
        <v>44986</v>
      </c>
      <c r="D113" s="156">
        <v>10989.867225469221</v>
      </c>
      <c r="E113" s="156">
        <v>516.97687954817866</v>
      </c>
      <c r="F113" s="156">
        <v>443.71109804505051</v>
      </c>
      <c r="G113" s="156">
        <v>73.265781503128139</v>
      </c>
      <c r="H113" s="158">
        <v>10546.156127424169</v>
      </c>
    </row>
    <row r="114" spans="1:8" ht="16.5">
      <c r="A114" s="135"/>
      <c r="B114" s="157">
        <v>99</v>
      </c>
      <c r="C114" s="155">
        <v>45017</v>
      </c>
      <c r="D114" s="156">
        <v>10546.156127424169</v>
      </c>
      <c r="E114" s="156">
        <v>516.97687954817866</v>
      </c>
      <c r="F114" s="156">
        <v>446.66917203201751</v>
      </c>
      <c r="G114" s="156">
        <v>70.30770751616113</v>
      </c>
      <c r="H114" s="158">
        <v>10099.486955392145</v>
      </c>
    </row>
    <row r="115" spans="1:8" ht="16.5">
      <c r="A115" s="135"/>
      <c r="B115" s="157">
        <v>100</v>
      </c>
      <c r="C115" s="155">
        <v>45047</v>
      </c>
      <c r="D115" s="156">
        <v>10099.486955392145</v>
      </c>
      <c r="E115" s="156">
        <v>516.97687954817866</v>
      </c>
      <c r="F115" s="156">
        <v>449.64696651223102</v>
      </c>
      <c r="G115" s="156">
        <v>67.329913035947641</v>
      </c>
      <c r="H115" s="158">
        <v>9649.8399888799322</v>
      </c>
    </row>
    <row r="116" spans="1:8" ht="16.5">
      <c r="A116" s="135"/>
      <c r="B116" s="157">
        <v>101</v>
      </c>
      <c r="C116" s="155">
        <v>45078</v>
      </c>
      <c r="D116" s="156">
        <v>9649.8399888799322</v>
      </c>
      <c r="E116" s="156">
        <v>516.97687954817866</v>
      </c>
      <c r="F116" s="156">
        <v>452.64461295564575</v>
      </c>
      <c r="G116" s="156">
        <v>64.332266592532889</v>
      </c>
      <c r="H116" s="158">
        <v>9197.1953759242897</v>
      </c>
    </row>
    <row r="117" spans="1:8" ht="16.5">
      <c r="A117" s="135"/>
      <c r="B117" s="157">
        <v>102</v>
      </c>
      <c r="C117" s="155">
        <v>45108</v>
      </c>
      <c r="D117" s="156">
        <v>9197.1953759242897</v>
      </c>
      <c r="E117" s="156">
        <v>516.97687954817866</v>
      </c>
      <c r="F117" s="156">
        <v>455.66224370868338</v>
      </c>
      <c r="G117" s="156">
        <v>61.314635839495267</v>
      </c>
      <c r="H117" s="158">
        <v>8741.5331322156126</v>
      </c>
    </row>
    <row r="118" spans="1:8" ht="16.5">
      <c r="A118" s="135"/>
      <c r="B118" s="157">
        <v>103</v>
      </c>
      <c r="C118" s="155">
        <v>45139</v>
      </c>
      <c r="D118" s="156">
        <v>8741.5331322156126</v>
      </c>
      <c r="E118" s="156">
        <v>516.97687954817866</v>
      </c>
      <c r="F118" s="156">
        <v>458.69999200007459</v>
      </c>
      <c r="G118" s="156">
        <v>58.276887548104085</v>
      </c>
      <c r="H118" s="158">
        <v>8282.8331402155309</v>
      </c>
    </row>
    <row r="119" spans="1:8" ht="16.5">
      <c r="A119" s="135"/>
      <c r="B119" s="157">
        <v>104</v>
      </c>
      <c r="C119" s="155">
        <v>45170</v>
      </c>
      <c r="D119" s="156">
        <v>8282.8331402155309</v>
      </c>
      <c r="E119" s="156">
        <v>516.97687954817866</v>
      </c>
      <c r="F119" s="156">
        <v>461.75799194674175</v>
      </c>
      <c r="G119" s="156">
        <v>55.218887601436876</v>
      </c>
      <c r="H119" s="158">
        <v>7821.0751482688065</v>
      </c>
    </row>
    <row r="120" spans="1:8" ht="16.5">
      <c r="A120" s="135"/>
      <c r="B120" s="157">
        <v>105</v>
      </c>
      <c r="C120" s="155">
        <v>45200</v>
      </c>
      <c r="D120" s="156">
        <v>7821.0751482688065</v>
      </c>
      <c r="E120" s="156">
        <v>516.97687954817866</v>
      </c>
      <c r="F120" s="156">
        <v>464.83637855971995</v>
      </c>
      <c r="G120" s="156">
        <v>52.140500988458712</v>
      </c>
      <c r="H120" s="158">
        <v>7356.238769709089</v>
      </c>
    </row>
    <row r="121" spans="1:8" ht="16.5">
      <c r="A121" s="135"/>
      <c r="B121" s="157">
        <v>106</v>
      </c>
      <c r="C121" s="155">
        <v>45231</v>
      </c>
      <c r="D121" s="156">
        <v>7356.238769709089</v>
      </c>
      <c r="E121" s="156">
        <v>516.97687954817866</v>
      </c>
      <c r="F121" s="156">
        <v>467.93528775011805</v>
      </c>
      <c r="G121" s="156">
        <v>49.041591798060594</v>
      </c>
      <c r="H121" s="158">
        <v>6888.3034819589811</v>
      </c>
    </row>
    <row r="122" spans="1:8" ht="16.5">
      <c r="A122" s="135"/>
      <c r="B122" s="157">
        <v>107</v>
      </c>
      <c r="C122" s="155">
        <v>45261</v>
      </c>
      <c r="D122" s="156">
        <v>6888.3034819589811</v>
      </c>
      <c r="E122" s="156">
        <v>516.97687954817866</v>
      </c>
      <c r="F122" s="156">
        <v>471.05485633511876</v>
      </c>
      <c r="G122" s="156">
        <v>45.92202321305988</v>
      </c>
      <c r="H122" s="158">
        <v>6417.2486256238481</v>
      </c>
    </row>
    <row r="123" spans="1:8" ht="16.5">
      <c r="A123" s="135"/>
      <c r="B123" s="157">
        <v>108</v>
      </c>
      <c r="C123" s="155">
        <v>45292</v>
      </c>
      <c r="D123" s="156">
        <v>6417.2486256238481</v>
      </c>
      <c r="E123" s="156">
        <v>516.97687954817866</v>
      </c>
      <c r="F123" s="156">
        <v>474.19522204401966</v>
      </c>
      <c r="G123" s="156">
        <v>42.781657504158993</v>
      </c>
      <c r="H123" s="158">
        <v>5943.0534035798482</v>
      </c>
    </row>
    <row r="124" spans="1:8" ht="16.5">
      <c r="A124" s="135"/>
      <c r="B124" s="157">
        <v>109</v>
      </c>
      <c r="C124" s="155">
        <v>45323</v>
      </c>
      <c r="D124" s="156">
        <v>5943.0534035798482</v>
      </c>
      <c r="E124" s="156">
        <v>516.97687954817866</v>
      </c>
      <c r="F124" s="156">
        <v>477.35652352431299</v>
      </c>
      <c r="G124" s="156">
        <v>39.620356023865661</v>
      </c>
      <c r="H124" s="158">
        <v>5465.6968800555187</v>
      </c>
    </row>
    <row r="125" spans="1:8" ht="16.5">
      <c r="A125" s="135"/>
      <c r="B125" s="157">
        <v>110</v>
      </c>
      <c r="C125" s="155">
        <v>45352</v>
      </c>
      <c r="D125" s="156">
        <v>5465.6968800555187</v>
      </c>
      <c r="E125" s="156">
        <v>516.97687954817866</v>
      </c>
      <c r="F125" s="156">
        <v>480.53890034780852</v>
      </c>
      <c r="G125" s="156">
        <v>36.43797920037013</v>
      </c>
      <c r="H125" s="158">
        <v>4985.1579797077284</v>
      </c>
    </row>
    <row r="126" spans="1:8" ht="16.5">
      <c r="A126" s="135"/>
      <c r="B126" s="157">
        <v>111</v>
      </c>
      <c r="C126" s="155">
        <v>45383</v>
      </c>
      <c r="D126" s="156">
        <v>4985.1579797077284</v>
      </c>
      <c r="E126" s="156">
        <v>516.97687954817866</v>
      </c>
      <c r="F126" s="156">
        <v>483.74249301679379</v>
      </c>
      <c r="G126" s="156">
        <v>33.234386531384857</v>
      </c>
      <c r="H126" s="158">
        <v>4501.4154866909521</v>
      </c>
    </row>
    <row r="127" spans="1:8" ht="16.5">
      <c r="A127" s="135"/>
      <c r="B127" s="157">
        <v>112</v>
      </c>
      <c r="C127" s="155">
        <v>45413</v>
      </c>
      <c r="D127" s="156">
        <v>4501.4154866909521</v>
      </c>
      <c r="E127" s="156">
        <v>516.97687954817866</v>
      </c>
      <c r="F127" s="156">
        <v>486.96744297023895</v>
      </c>
      <c r="G127" s="156">
        <v>30.009436577939681</v>
      </c>
      <c r="H127" s="158">
        <v>4014.4480437206948</v>
      </c>
    </row>
    <row r="128" spans="1:8" ht="16.5">
      <c r="A128" s="135"/>
      <c r="B128" s="157">
        <v>113</v>
      </c>
      <c r="C128" s="155">
        <v>45444</v>
      </c>
      <c r="D128" s="156">
        <v>4014.4480437206948</v>
      </c>
      <c r="E128" s="156">
        <v>516.97687954817866</v>
      </c>
      <c r="F128" s="156">
        <v>490.2138925900407</v>
      </c>
      <c r="G128" s="156">
        <v>26.762986958137969</v>
      </c>
      <c r="H128" s="158">
        <v>3524.2341511306586</v>
      </c>
    </row>
    <row r="129" spans="1:8" ht="16.5">
      <c r="A129" s="135"/>
      <c r="B129" s="157">
        <v>114</v>
      </c>
      <c r="C129" s="155">
        <v>45474</v>
      </c>
      <c r="D129" s="156">
        <v>3524.2341511306586</v>
      </c>
      <c r="E129" s="156">
        <v>516.97687954817866</v>
      </c>
      <c r="F129" s="156">
        <v>493.48198520730762</v>
      </c>
      <c r="G129" s="156">
        <v>23.49489434087106</v>
      </c>
      <c r="H129" s="158">
        <v>3030.7521659233462</v>
      </c>
    </row>
    <row r="130" spans="1:8" ht="16.5">
      <c r="A130" s="135"/>
      <c r="B130" s="157">
        <v>115</v>
      </c>
      <c r="C130" s="155">
        <v>45505</v>
      </c>
      <c r="D130" s="156">
        <v>3030.7521659233462</v>
      </c>
      <c r="E130" s="156">
        <v>516.97687954817866</v>
      </c>
      <c r="F130" s="156">
        <v>496.77186510868967</v>
      </c>
      <c r="G130" s="156">
        <v>20.205014439488977</v>
      </c>
      <c r="H130" s="158">
        <v>2533.98030081467</v>
      </c>
    </row>
    <row r="131" spans="1:8" ht="16.5">
      <c r="A131" s="135"/>
      <c r="B131" s="157">
        <v>116</v>
      </c>
      <c r="C131" s="155">
        <v>45536</v>
      </c>
      <c r="D131" s="156">
        <v>2533.98030081467</v>
      </c>
      <c r="E131" s="156">
        <v>516.97687954817866</v>
      </c>
      <c r="F131" s="156">
        <v>500.08367754274752</v>
      </c>
      <c r="G131" s="156">
        <v>16.893202005431135</v>
      </c>
      <c r="H131" s="158">
        <v>2033.8966232719395</v>
      </c>
    </row>
    <row r="132" spans="1:8" ht="16.5">
      <c r="A132" s="135"/>
      <c r="B132" s="157">
        <v>117</v>
      </c>
      <c r="C132" s="155">
        <v>45566</v>
      </c>
      <c r="D132" s="156">
        <v>2033.8966232719395</v>
      </c>
      <c r="E132" s="156">
        <v>516.97687954817866</v>
      </c>
      <c r="F132" s="156">
        <v>503.41756872636574</v>
      </c>
      <c r="G132" s="156">
        <v>13.559310821812931</v>
      </c>
      <c r="H132" s="158">
        <v>1530.4790545455617</v>
      </c>
    </row>
    <row r="133" spans="1:8" ht="16.5">
      <c r="A133" s="135"/>
      <c r="B133" s="157">
        <v>118</v>
      </c>
      <c r="C133" s="155">
        <v>45597</v>
      </c>
      <c r="D133" s="156">
        <v>1530.4790545455617</v>
      </c>
      <c r="E133" s="156">
        <v>516.97687954817866</v>
      </c>
      <c r="F133" s="156">
        <v>506.77368585120826</v>
      </c>
      <c r="G133" s="156">
        <v>10.203193696970411</v>
      </c>
      <c r="H133" s="158">
        <v>1023.7053686943545</v>
      </c>
    </row>
    <row r="134" spans="1:8" ht="16.5">
      <c r="A134" s="135"/>
      <c r="B134" s="157">
        <v>119</v>
      </c>
      <c r="C134" s="155">
        <v>45627</v>
      </c>
      <c r="D134" s="156">
        <v>1023.7053686943545</v>
      </c>
      <c r="E134" s="156">
        <v>516.97687954817866</v>
      </c>
      <c r="F134" s="156">
        <v>510.1521770902163</v>
      </c>
      <c r="G134" s="156">
        <v>6.8247024579623643</v>
      </c>
      <c r="H134" s="158">
        <v>513.55319160416548</v>
      </c>
    </row>
    <row r="135" spans="1:8" ht="16.5">
      <c r="A135" s="135"/>
      <c r="B135" s="157">
        <v>120</v>
      </c>
      <c r="C135" s="155">
        <v>45658</v>
      </c>
      <c r="D135" s="156">
        <v>513.55319160416548</v>
      </c>
      <c r="E135" s="156">
        <v>516.97687954817866</v>
      </c>
      <c r="F135" s="156">
        <v>513.55319160415092</v>
      </c>
      <c r="G135" s="156">
        <v>3.4236879440277699</v>
      </c>
      <c r="H135" s="158">
        <v>0</v>
      </c>
    </row>
    <row r="136" spans="1:8" ht="16.5">
      <c r="A136" s="135"/>
      <c r="B136" s="157" t="s">
        <v>283</v>
      </c>
      <c r="C136" s="155" t="s">
        <v>283</v>
      </c>
      <c r="D136" s="156" t="s">
        <v>283</v>
      </c>
      <c r="E136" s="156" t="s">
        <v>283</v>
      </c>
      <c r="F136" s="156" t="s">
        <v>283</v>
      </c>
      <c r="G136" s="156" t="s">
        <v>283</v>
      </c>
      <c r="H136" s="158" t="s">
        <v>283</v>
      </c>
    </row>
    <row r="137" spans="1:8" ht="16.5">
      <c r="A137" s="135"/>
      <c r="B137" s="157" t="s">
        <v>283</v>
      </c>
      <c r="C137" s="155" t="s">
        <v>283</v>
      </c>
      <c r="D137" s="156" t="s">
        <v>283</v>
      </c>
      <c r="E137" s="156" t="s">
        <v>283</v>
      </c>
      <c r="F137" s="156" t="s">
        <v>283</v>
      </c>
      <c r="G137" s="156" t="s">
        <v>283</v>
      </c>
      <c r="H137" s="158" t="s">
        <v>283</v>
      </c>
    </row>
    <row r="138" spans="1:8" ht="16.5">
      <c r="A138" s="135"/>
      <c r="B138" s="157" t="s">
        <v>283</v>
      </c>
      <c r="C138" s="155" t="s">
        <v>283</v>
      </c>
      <c r="D138" s="156" t="s">
        <v>283</v>
      </c>
      <c r="E138" s="156" t="s">
        <v>283</v>
      </c>
      <c r="F138" s="156" t="s">
        <v>283</v>
      </c>
      <c r="G138" s="156" t="s">
        <v>283</v>
      </c>
      <c r="H138" s="158" t="s">
        <v>283</v>
      </c>
    </row>
    <row r="139" spans="1:8" ht="16.5">
      <c r="A139" s="135"/>
      <c r="B139" s="157" t="s">
        <v>283</v>
      </c>
      <c r="C139" s="155" t="s">
        <v>283</v>
      </c>
      <c r="D139" s="156" t="s">
        <v>283</v>
      </c>
      <c r="E139" s="156" t="s">
        <v>283</v>
      </c>
      <c r="F139" s="156" t="s">
        <v>283</v>
      </c>
      <c r="G139" s="156" t="s">
        <v>283</v>
      </c>
      <c r="H139" s="158" t="s">
        <v>283</v>
      </c>
    </row>
    <row r="140" spans="1:8" ht="16.5">
      <c r="A140" s="135"/>
      <c r="B140" s="157" t="s">
        <v>283</v>
      </c>
      <c r="C140" s="155" t="s">
        <v>283</v>
      </c>
      <c r="D140" s="156" t="s">
        <v>283</v>
      </c>
      <c r="E140" s="156" t="s">
        <v>283</v>
      </c>
      <c r="F140" s="156" t="s">
        <v>283</v>
      </c>
      <c r="G140" s="156" t="s">
        <v>283</v>
      </c>
      <c r="H140" s="158" t="s">
        <v>283</v>
      </c>
    </row>
    <row r="141" spans="1:8" ht="16.5">
      <c r="A141" s="135"/>
      <c r="B141" s="157" t="s">
        <v>283</v>
      </c>
      <c r="C141" s="155" t="s">
        <v>283</v>
      </c>
      <c r="D141" s="156" t="s">
        <v>283</v>
      </c>
      <c r="E141" s="156" t="s">
        <v>283</v>
      </c>
      <c r="F141" s="156" t="s">
        <v>283</v>
      </c>
      <c r="G141" s="156" t="s">
        <v>283</v>
      </c>
      <c r="H141" s="158" t="s">
        <v>283</v>
      </c>
    </row>
    <row r="142" spans="1:8" ht="16.5">
      <c r="A142" s="135"/>
      <c r="B142" s="157" t="s">
        <v>283</v>
      </c>
      <c r="C142" s="155" t="s">
        <v>283</v>
      </c>
      <c r="D142" s="156" t="s">
        <v>283</v>
      </c>
      <c r="E142" s="156" t="s">
        <v>283</v>
      </c>
      <c r="F142" s="156" t="s">
        <v>283</v>
      </c>
      <c r="G142" s="156" t="s">
        <v>283</v>
      </c>
      <c r="H142" s="158" t="s">
        <v>283</v>
      </c>
    </row>
    <row r="143" spans="1:8" ht="16.5">
      <c r="A143" s="135"/>
      <c r="B143" s="157" t="s">
        <v>283</v>
      </c>
      <c r="C143" s="155" t="s">
        <v>283</v>
      </c>
      <c r="D143" s="156" t="s">
        <v>283</v>
      </c>
      <c r="E143" s="156" t="s">
        <v>283</v>
      </c>
      <c r="F143" s="156" t="s">
        <v>283</v>
      </c>
      <c r="G143" s="156" t="s">
        <v>283</v>
      </c>
      <c r="H143" s="158" t="s">
        <v>283</v>
      </c>
    </row>
    <row r="144" spans="1:8" ht="16.5">
      <c r="A144" s="135"/>
      <c r="B144" s="157" t="s">
        <v>283</v>
      </c>
      <c r="C144" s="155" t="s">
        <v>283</v>
      </c>
      <c r="D144" s="156" t="s">
        <v>283</v>
      </c>
      <c r="E144" s="156" t="s">
        <v>283</v>
      </c>
      <c r="F144" s="156" t="s">
        <v>283</v>
      </c>
      <c r="G144" s="156" t="s">
        <v>283</v>
      </c>
      <c r="H144" s="158" t="s">
        <v>283</v>
      </c>
    </row>
    <row r="145" spans="1:8" ht="16.5">
      <c r="A145" s="135"/>
      <c r="B145" s="157" t="s">
        <v>283</v>
      </c>
      <c r="C145" s="155" t="s">
        <v>283</v>
      </c>
      <c r="D145" s="156" t="s">
        <v>283</v>
      </c>
      <c r="E145" s="156" t="s">
        <v>283</v>
      </c>
      <c r="F145" s="156" t="s">
        <v>283</v>
      </c>
      <c r="G145" s="156" t="s">
        <v>283</v>
      </c>
      <c r="H145" s="158" t="s">
        <v>283</v>
      </c>
    </row>
    <row r="146" spans="1:8" ht="16.5">
      <c r="A146" s="135"/>
      <c r="B146" s="157" t="s">
        <v>283</v>
      </c>
      <c r="C146" s="155" t="s">
        <v>283</v>
      </c>
      <c r="D146" s="156" t="s">
        <v>283</v>
      </c>
      <c r="E146" s="156" t="s">
        <v>283</v>
      </c>
      <c r="F146" s="156" t="s">
        <v>283</v>
      </c>
      <c r="G146" s="156" t="s">
        <v>283</v>
      </c>
      <c r="H146" s="158" t="s">
        <v>283</v>
      </c>
    </row>
    <row r="147" spans="1:8" ht="16.5">
      <c r="A147" s="135"/>
      <c r="B147" s="157" t="s">
        <v>283</v>
      </c>
      <c r="C147" s="155" t="s">
        <v>283</v>
      </c>
      <c r="D147" s="156" t="s">
        <v>283</v>
      </c>
      <c r="E147" s="156" t="s">
        <v>283</v>
      </c>
      <c r="F147" s="156" t="s">
        <v>283</v>
      </c>
      <c r="G147" s="156" t="s">
        <v>283</v>
      </c>
      <c r="H147" s="158" t="s">
        <v>283</v>
      </c>
    </row>
    <row r="148" spans="1:8" ht="16.5">
      <c r="A148" s="135"/>
      <c r="B148" s="157" t="s">
        <v>283</v>
      </c>
      <c r="C148" s="155" t="s">
        <v>283</v>
      </c>
      <c r="D148" s="156" t="s">
        <v>283</v>
      </c>
      <c r="E148" s="156" t="s">
        <v>283</v>
      </c>
      <c r="F148" s="156" t="s">
        <v>283</v>
      </c>
      <c r="G148" s="156" t="s">
        <v>283</v>
      </c>
      <c r="H148" s="158" t="s">
        <v>283</v>
      </c>
    </row>
    <row r="149" spans="1:8" ht="16.5">
      <c r="A149" s="135"/>
      <c r="B149" s="157" t="s">
        <v>283</v>
      </c>
      <c r="C149" s="155" t="s">
        <v>283</v>
      </c>
      <c r="D149" s="156" t="s">
        <v>283</v>
      </c>
      <c r="E149" s="156" t="s">
        <v>283</v>
      </c>
      <c r="F149" s="156" t="s">
        <v>283</v>
      </c>
      <c r="G149" s="156" t="s">
        <v>283</v>
      </c>
      <c r="H149" s="158" t="s">
        <v>283</v>
      </c>
    </row>
    <row r="150" spans="1:8" ht="16.5">
      <c r="A150" s="135"/>
      <c r="B150" s="157" t="s">
        <v>283</v>
      </c>
      <c r="C150" s="155" t="s">
        <v>283</v>
      </c>
      <c r="D150" s="156" t="s">
        <v>283</v>
      </c>
      <c r="E150" s="156" t="s">
        <v>283</v>
      </c>
      <c r="F150" s="156" t="s">
        <v>283</v>
      </c>
      <c r="G150" s="156" t="s">
        <v>283</v>
      </c>
      <c r="H150" s="158" t="s">
        <v>283</v>
      </c>
    </row>
    <row r="151" spans="1:8" ht="16.5">
      <c r="A151" s="135"/>
      <c r="B151" s="157" t="s">
        <v>283</v>
      </c>
      <c r="C151" s="155" t="s">
        <v>283</v>
      </c>
      <c r="D151" s="156" t="s">
        <v>283</v>
      </c>
      <c r="E151" s="156" t="s">
        <v>283</v>
      </c>
      <c r="F151" s="156" t="s">
        <v>283</v>
      </c>
      <c r="G151" s="156" t="s">
        <v>283</v>
      </c>
      <c r="H151" s="158" t="s">
        <v>283</v>
      </c>
    </row>
    <row r="152" spans="1:8" ht="16.5">
      <c r="A152" s="135"/>
      <c r="B152" s="157" t="s">
        <v>283</v>
      </c>
      <c r="C152" s="155" t="s">
        <v>283</v>
      </c>
      <c r="D152" s="156" t="s">
        <v>283</v>
      </c>
      <c r="E152" s="156" t="s">
        <v>283</v>
      </c>
      <c r="F152" s="156" t="s">
        <v>283</v>
      </c>
      <c r="G152" s="156" t="s">
        <v>283</v>
      </c>
      <c r="H152" s="158" t="s">
        <v>283</v>
      </c>
    </row>
    <row r="153" spans="1:8" ht="16.5">
      <c r="A153" s="135"/>
      <c r="B153" s="157" t="s">
        <v>283</v>
      </c>
      <c r="C153" s="155" t="s">
        <v>283</v>
      </c>
      <c r="D153" s="156" t="s">
        <v>283</v>
      </c>
      <c r="E153" s="156" t="s">
        <v>283</v>
      </c>
      <c r="F153" s="156" t="s">
        <v>283</v>
      </c>
      <c r="G153" s="156" t="s">
        <v>283</v>
      </c>
      <c r="H153" s="158" t="s">
        <v>283</v>
      </c>
    </row>
    <row r="154" spans="1:8" ht="16.5">
      <c r="A154" s="135"/>
      <c r="B154" s="157" t="s">
        <v>283</v>
      </c>
      <c r="C154" s="155" t="s">
        <v>283</v>
      </c>
      <c r="D154" s="156" t="s">
        <v>283</v>
      </c>
      <c r="E154" s="156" t="s">
        <v>283</v>
      </c>
      <c r="F154" s="156" t="s">
        <v>283</v>
      </c>
      <c r="G154" s="156" t="s">
        <v>283</v>
      </c>
      <c r="H154" s="158" t="s">
        <v>283</v>
      </c>
    </row>
    <row r="155" spans="1:8" ht="16.5">
      <c r="A155" s="135"/>
      <c r="B155" s="157" t="s">
        <v>283</v>
      </c>
      <c r="C155" s="155" t="s">
        <v>283</v>
      </c>
      <c r="D155" s="156" t="s">
        <v>283</v>
      </c>
      <c r="E155" s="156" t="s">
        <v>283</v>
      </c>
      <c r="F155" s="156" t="s">
        <v>283</v>
      </c>
      <c r="G155" s="156" t="s">
        <v>283</v>
      </c>
      <c r="H155" s="158" t="s">
        <v>283</v>
      </c>
    </row>
    <row r="156" spans="1:8" ht="16.5">
      <c r="A156" s="135"/>
      <c r="B156" s="157" t="s">
        <v>283</v>
      </c>
      <c r="C156" s="155" t="s">
        <v>283</v>
      </c>
      <c r="D156" s="156" t="s">
        <v>283</v>
      </c>
      <c r="E156" s="156" t="s">
        <v>283</v>
      </c>
      <c r="F156" s="156" t="s">
        <v>283</v>
      </c>
      <c r="G156" s="156" t="s">
        <v>283</v>
      </c>
      <c r="H156" s="158" t="s">
        <v>283</v>
      </c>
    </row>
    <row r="157" spans="1:8" ht="16.5">
      <c r="A157" s="135"/>
      <c r="B157" s="157" t="s">
        <v>283</v>
      </c>
      <c r="C157" s="155" t="s">
        <v>283</v>
      </c>
      <c r="D157" s="156" t="s">
        <v>283</v>
      </c>
      <c r="E157" s="156" t="s">
        <v>283</v>
      </c>
      <c r="F157" s="156" t="s">
        <v>283</v>
      </c>
      <c r="G157" s="156" t="s">
        <v>283</v>
      </c>
      <c r="H157" s="158" t="s">
        <v>283</v>
      </c>
    </row>
    <row r="158" spans="1:8" ht="16.5">
      <c r="A158" s="135"/>
      <c r="B158" s="157" t="s">
        <v>283</v>
      </c>
      <c r="C158" s="155" t="s">
        <v>283</v>
      </c>
      <c r="D158" s="156" t="s">
        <v>283</v>
      </c>
      <c r="E158" s="156" t="s">
        <v>283</v>
      </c>
      <c r="F158" s="156" t="s">
        <v>283</v>
      </c>
      <c r="G158" s="156" t="s">
        <v>283</v>
      </c>
      <c r="H158" s="158" t="s">
        <v>283</v>
      </c>
    </row>
    <row r="159" spans="1:8" ht="16.5">
      <c r="A159" s="135"/>
      <c r="B159" s="157" t="s">
        <v>283</v>
      </c>
      <c r="C159" s="155" t="s">
        <v>283</v>
      </c>
      <c r="D159" s="156" t="s">
        <v>283</v>
      </c>
      <c r="E159" s="156" t="s">
        <v>283</v>
      </c>
      <c r="F159" s="156" t="s">
        <v>283</v>
      </c>
      <c r="G159" s="156" t="s">
        <v>283</v>
      </c>
      <c r="H159" s="158" t="s">
        <v>283</v>
      </c>
    </row>
    <row r="160" spans="1:8" ht="16.5">
      <c r="A160" s="135"/>
      <c r="B160" s="157" t="s">
        <v>283</v>
      </c>
      <c r="C160" s="155" t="s">
        <v>283</v>
      </c>
      <c r="D160" s="156" t="s">
        <v>283</v>
      </c>
      <c r="E160" s="156" t="s">
        <v>283</v>
      </c>
      <c r="F160" s="156" t="s">
        <v>283</v>
      </c>
      <c r="G160" s="156" t="s">
        <v>283</v>
      </c>
      <c r="H160" s="158" t="s">
        <v>283</v>
      </c>
    </row>
    <row r="161" spans="1:8" ht="16.5">
      <c r="A161" s="135"/>
      <c r="B161" s="157" t="s">
        <v>283</v>
      </c>
      <c r="C161" s="155" t="s">
        <v>283</v>
      </c>
      <c r="D161" s="156" t="s">
        <v>283</v>
      </c>
      <c r="E161" s="156" t="s">
        <v>283</v>
      </c>
      <c r="F161" s="156" t="s">
        <v>283</v>
      </c>
      <c r="G161" s="156" t="s">
        <v>283</v>
      </c>
      <c r="H161" s="158" t="s">
        <v>283</v>
      </c>
    </row>
    <row r="162" spans="1:8" ht="16.5">
      <c r="A162" s="135"/>
      <c r="B162" s="157" t="s">
        <v>283</v>
      </c>
      <c r="C162" s="155" t="s">
        <v>283</v>
      </c>
      <c r="D162" s="156" t="s">
        <v>283</v>
      </c>
      <c r="E162" s="156" t="s">
        <v>283</v>
      </c>
      <c r="F162" s="156" t="s">
        <v>283</v>
      </c>
      <c r="G162" s="156" t="s">
        <v>283</v>
      </c>
      <c r="H162" s="158" t="s">
        <v>283</v>
      </c>
    </row>
    <row r="163" spans="1:8" ht="16.5">
      <c r="A163" s="135"/>
      <c r="B163" s="157" t="s">
        <v>283</v>
      </c>
      <c r="C163" s="155" t="s">
        <v>283</v>
      </c>
      <c r="D163" s="156" t="s">
        <v>283</v>
      </c>
      <c r="E163" s="156" t="s">
        <v>283</v>
      </c>
      <c r="F163" s="156" t="s">
        <v>283</v>
      </c>
      <c r="G163" s="156" t="s">
        <v>283</v>
      </c>
      <c r="H163" s="158" t="s">
        <v>283</v>
      </c>
    </row>
    <row r="164" spans="1:8" ht="16.5">
      <c r="A164" s="135"/>
      <c r="B164" s="157" t="s">
        <v>283</v>
      </c>
      <c r="C164" s="155" t="s">
        <v>283</v>
      </c>
      <c r="D164" s="156" t="s">
        <v>283</v>
      </c>
      <c r="E164" s="156" t="s">
        <v>283</v>
      </c>
      <c r="F164" s="156" t="s">
        <v>283</v>
      </c>
      <c r="G164" s="156" t="s">
        <v>283</v>
      </c>
      <c r="H164" s="158" t="s">
        <v>283</v>
      </c>
    </row>
    <row r="165" spans="1:8" ht="16.5">
      <c r="A165" s="135"/>
      <c r="B165" s="157" t="s">
        <v>283</v>
      </c>
      <c r="C165" s="155" t="s">
        <v>283</v>
      </c>
      <c r="D165" s="156" t="s">
        <v>283</v>
      </c>
      <c r="E165" s="156" t="s">
        <v>283</v>
      </c>
      <c r="F165" s="156" t="s">
        <v>283</v>
      </c>
      <c r="G165" s="156" t="s">
        <v>283</v>
      </c>
      <c r="H165" s="158" t="s">
        <v>283</v>
      </c>
    </row>
    <row r="166" spans="1:8" ht="16.5">
      <c r="A166" s="135"/>
      <c r="B166" s="157" t="s">
        <v>283</v>
      </c>
      <c r="C166" s="155" t="s">
        <v>283</v>
      </c>
      <c r="D166" s="156" t="s">
        <v>283</v>
      </c>
      <c r="E166" s="156" t="s">
        <v>283</v>
      </c>
      <c r="F166" s="156" t="s">
        <v>283</v>
      </c>
      <c r="G166" s="156" t="s">
        <v>283</v>
      </c>
      <c r="H166" s="158" t="s">
        <v>283</v>
      </c>
    </row>
    <row r="167" spans="1:8" ht="16.5">
      <c r="A167" s="135"/>
      <c r="B167" s="157" t="s">
        <v>283</v>
      </c>
      <c r="C167" s="155" t="s">
        <v>283</v>
      </c>
      <c r="D167" s="156" t="s">
        <v>283</v>
      </c>
      <c r="E167" s="156" t="s">
        <v>283</v>
      </c>
      <c r="F167" s="156" t="s">
        <v>283</v>
      </c>
      <c r="G167" s="156" t="s">
        <v>283</v>
      </c>
      <c r="H167" s="158" t="s">
        <v>283</v>
      </c>
    </row>
    <row r="168" spans="1:8" ht="16.5">
      <c r="A168" s="135"/>
      <c r="B168" s="157" t="s">
        <v>283</v>
      </c>
      <c r="C168" s="155" t="s">
        <v>283</v>
      </c>
      <c r="D168" s="156" t="s">
        <v>283</v>
      </c>
      <c r="E168" s="156" t="s">
        <v>283</v>
      </c>
      <c r="F168" s="156" t="s">
        <v>283</v>
      </c>
      <c r="G168" s="156" t="s">
        <v>283</v>
      </c>
      <c r="H168" s="158" t="s">
        <v>283</v>
      </c>
    </row>
    <row r="169" spans="1:8" ht="16.5">
      <c r="A169" s="135"/>
      <c r="B169" s="157" t="s">
        <v>283</v>
      </c>
      <c r="C169" s="155" t="s">
        <v>283</v>
      </c>
      <c r="D169" s="156" t="s">
        <v>283</v>
      </c>
      <c r="E169" s="156" t="s">
        <v>283</v>
      </c>
      <c r="F169" s="156" t="s">
        <v>283</v>
      </c>
      <c r="G169" s="156" t="s">
        <v>283</v>
      </c>
      <c r="H169" s="158" t="s">
        <v>283</v>
      </c>
    </row>
    <row r="170" spans="1:8" ht="16.5">
      <c r="A170" s="135"/>
      <c r="B170" s="157" t="s">
        <v>283</v>
      </c>
      <c r="C170" s="155" t="s">
        <v>283</v>
      </c>
      <c r="D170" s="156" t="s">
        <v>283</v>
      </c>
      <c r="E170" s="156" t="s">
        <v>283</v>
      </c>
      <c r="F170" s="156" t="s">
        <v>283</v>
      </c>
      <c r="G170" s="156" t="s">
        <v>283</v>
      </c>
      <c r="H170" s="158" t="s">
        <v>283</v>
      </c>
    </row>
    <row r="171" spans="1:8" ht="16.5">
      <c r="A171" s="135"/>
      <c r="B171" s="157" t="s">
        <v>283</v>
      </c>
      <c r="C171" s="155" t="s">
        <v>283</v>
      </c>
      <c r="D171" s="156" t="s">
        <v>283</v>
      </c>
      <c r="E171" s="156" t="s">
        <v>283</v>
      </c>
      <c r="F171" s="156" t="s">
        <v>283</v>
      </c>
      <c r="G171" s="156" t="s">
        <v>283</v>
      </c>
      <c r="H171" s="158" t="s">
        <v>283</v>
      </c>
    </row>
    <row r="172" spans="1:8" ht="16.5">
      <c r="A172" s="135"/>
      <c r="B172" s="157" t="s">
        <v>283</v>
      </c>
      <c r="C172" s="155" t="s">
        <v>283</v>
      </c>
      <c r="D172" s="156" t="s">
        <v>283</v>
      </c>
      <c r="E172" s="156" t="s">
        <v>283</v>
      </c>
      <c r="F172" s="156" t="s">
        <v>283</v>
      </c>
      <c r="G172" s="156" t="s">
        <v>283</v>
      </c>
      <c r="H172" s="158" t="s">
        <v>283</v>
      </c>
    </row>
    <row r="173" spans="1:8" ht="16.5">
      <c r="A173" s="135"/>
      <c r="B173" s="157" t="s">
        <v>283</v>
      </c>
      <c r="C173" s="155" t="s">
        <v>283</v>
      </c>
      <c r="D173" s="156" t="s">
        <v>283</v>
      </c>
      <c r="E173" s="156" t="s">
        <v>283</v>
      </c>
      <c r="F173" s="156" t="s">
        <v>283</v>
      </c>
      <c r="G173" s="156" t="s">
        <v>283</v>
      </c>
      <c r="H173" s="158" t="s">
        <v>283</v>
      </c>
    </row>
    <row r="174" spans="1:8" ht="16.5">
      <c r="A174" s="135"/>
      <c r="B174" s="157" t="s">
        <v>283</v>
      </c>
      <c r="C174" s="155" t="s">
        <v>283</v>
      </c>
      <c r="D174" s="156" t="s">
        <v>283</v>
      </c>
      <c r="E174" s="156" t="s">
        <v>283</v>
      </c>
      <c r="F174" s="156" t="s">
        <v>283</v>
      </c>
      <c r="G174" s="156" t="s">
        <v>283</v>
      </c>
      <c r="H174" s="158" t="s">
        <v>283</v>
      </c>
    </row>
    <row r="175" spans="1:8" ht="16.5">
      <c r="A175" s="135"/>
      <c r="B175" s="157" t="s">
        <v>283</v>
      </c>
      <c r="C175" s="155" t="s">
        <v>283</v>
      </c>
      <c r="D175" s="156" t="s">
        <v>283</v>
      </c>
      <c r="E175" s="156" t="s">
        <v>283</v>
      </c>
      <c r="F175" s="156" t="s">
        <v>283</v>
      </c>
      <c r="G175" s="156" t="s">
        <v>283</v>
      </c>
      <c r="H175" s="158" t="s">
        <v>283</v>
      </c>
    </row>
    <row r="176" spans="1:8" ht="16.5">
      <c r="A176" s="135"/>
      <c r="B176" s="157" t="s">
        <v>283</v>
      </c>
      <c r="C176" s="155" t="s">
        <v>283</v>
      </c>
      <c r="D176" s="156" t="s">
        <v>283</v>
      </c>
      <c r="E176" s="156" t="s">
        <v>283</v>
      </c>
      <c r="F176" s="156" t="s">
        <v>283</v>
      </c>
      <c r="G176" s="156" t="s">
        <v>283</v>
      </c>
      <c r="H176" s="158" t="s">
        <v>283</v>
      </c>
    </row>
    <row r="177" spans="1:8" ht="16.5">
      <c r="A177" s="135"/>
      <c r="B177" s="157" t="s">
        <v>283</v>
      </c>
      <c r="C177" s="155" t="s">
        <v>283</v>
      </c>
      <c r="D177" s="156" t="s">
        <v>283</v>
      </c>
      <c r="E177" s="156" t="s">
        <v>283</v>
      </c>
      <c r="F177" s="156" t="s">
        <v>283</v>
      </c>
      <c r="G177" s="156" t="s">
        <v>283</v>
      </c>
      <c r="H177" s="158" t="s">
        <v>283</v>
      </c>
    </row>
    <row r="178" spans="1:8" ht="16.5">
      <c r="A178" s="135"/>
      <c r="B178" s="157" t="s">
        <v>283</v>
      </c>
      <c r="C178" s="155" t="s">
        <v>283</v>
      </c>
      <c r="D178" s="156" t="s">
        <v>283</v>
      </c>
      <c r="E178" s="156" t="s">
        <v>283</v>
      </c>
      <c r="F178" s="156" t="s">
        <v>283</v>
      </c>
      <c r="G178" s="156" t="s">
        <v>283</v>
      </c>
      <c r="H178" s="158" t="s">
        <v>283</v>
      </c>
    </row>
    <row r="179" spans="1:8" ht="16.5">
      <c r="A179" s="135"/>
      <c r="B179" s="157" t="s">
        <v>283</v>
      </c>
      <c r="C179" s="155" t="s">
        <v>283</v>
      </c>
      <c r="D179" s="156" t="s">
        <v>283</v>
      </c>
      <c r="E179" s="156" t="s">
        <v>283</v>
      </c>
      <c r="F179" s="156" t="s">
        <v>283</v>
      </c>
      <c r="G179" s="156" t="s">
        <v>283</v>
      </c>
      <c r="H179" s="158" t="s">
        <v>283</v>
      </c>
    </row>
    <row r="180" spans="1:8" ht="16.5">
      <c r="A180" s="135"/>
      <c r="B180" s="157" t="s">
        <v>283</v>
      </c>
      <c r="C180" s="155" t="s">
        <v>283</v>
      </c>
      <c r="D180" s="156" t="s">
        <v>283</v>
      </c>
      <c r="E180" s="156" t="s">
        <v>283</v>
      </c>
      <c r="F180" s="156" t="s">
        <v>283</v>
      </c>
      <c r="G180" s="156" t="s">
        <v>283</v>
      </c>
      <c r="H180" s="158" t="s">
        <v>283</v>
      </c>
    </row>
    <row r="181" spans="1:8" ht="16.5">
      <c r="A181" s="135"/>
      <c r="B181" s="157" t="s">
        <v>283</v>
      </c>
      <c r="C181" s="155" t="s">
        <v>283</v>
      </c>
      <c r="D181" s="156" t="s">
        <v>283</v>
      </c>
      <c r="E181" s="156" t="s">
        <v>283</v>
      </c>
      <c r="F181" s="156" t="s">
        <v>283</v>
      </c>
      <c r="G181" s="156" t="s">
        <v>283</v>
      </c>
      <c r="H181" s="158" t="s">
        <v>283</v>
      </c>
    </row>
    <row r="182" spans="1:8" ht="16.5">
      <c r="A182" s="135"/>
      <c r="B182" s="157" t="s">
        <v>283</v>
      </c>
      <c r="C182" s="155" t="s">
        <v>283</v>
      </c>
      <c r="D182" s="156" t="s">
        <v>283</v>
      </c>
      <c r="E182" s="156" t="s">
        <v>283</v>
      </c>
      <c r="F182" s="156" t="s">
        <v>283</v>
      </c>
      <c r="G182" s="156" t="s">
        <v>283</v>
      </c>
      <c r="H182" s="158" t="s">
        <v>283</v>
      </c>
    </row>
    <row r="183" spans="1:8" ht="16.5">
      <c r="A183" s="135"/>
      <c r="B183" s="157" t="s">
        <v>283</v>
      </c>
      <c r="C183" s="155" t="s">
        <v>283</v>
      </c>
      <c r="D183" s="156" t="s">
        <v>283</v>
      </c>
      <c r="E183" s="156" t="s">
        <v>283</v>
      </c>
      <c r="F183" s="156" t="s">
        <v>283</v>
      </c>
      <c r="G183" s="156" t="s">
        <v>283</v>
      </c>
      <c r="H183" s="158" t="s">
        <v>283</v>
      </c>
    </row>
    <row r="184" spans="1:8" ht="16.5">
      <c r="A184" s="135"/>
      <c r="B184" s="157" t="s">
        <v>283</v>
      </c>
      <c r="C184" s="155" t="s">
        <v>283</v>
      </c>
      <c r="D184" s="156" t="s">
        <v>283</v>
      </c>
      <c r="E184" s="156" t="s">
        <v>283</v>
      </c>
      <c r="F184" s="156" t="s">
        <v>283</v>
      </c>
      <c r="G184" s="156" t="s">
        <v>283</v>
      </c>
      <c r="H184" s="158" t="s">
        <v>283</v>
      </c>
    </row>
    <row r="185" spans="1:8" ht="16.5">
      <c r="A185" s="135"/>
      <c r="B185" s="157" t="s">
        <v>283</v>
      </c>
      <c r="C185" s="155" t="s">
        <v>283</v>
      </c>
      <c r="D185" s="156" t="s">
        <v>283</v>
      </c>
      <c r="E185" s="156" t="s">
        <v>283</v>
      </c>
      <c r="F185" s="156" t="s">
        <v>283</v>
      </c>
      <c r="G185" s="156" t="s">
        <v>283</v>
      </c>
      <c r="H185" s="158" t="s">
        <v>283</v>
      </c>
    </row>
    <row r="186" spans="1:8" ht="16.5">
      <c r="A186" s="135"/>
      <c r="B186" s="157" t="s">
        <v>283</v>
      </c>
      <c r="C186" s="155" t="s">
        <v>283</v>
      </c>
      <c r="D186" s="156" t="s">
        <v>283</v>
      </c>
      <c r="E186" s="156" t="s">
        <v>283</v>
      </c>
      <c r="F186" s="156" t="s">
        <v>283</v>
      </c>
      <c r="G186" s="156" t="s">
        <v>283</v>
      </c>
      <c r="H186" s="158" t="s">
        <v>283</v>
      </c>
    </row>
    <row r="187" spans="1:8" ht="16.5">
      <c r="A187" s="135"/>
      <c r="B187" s="157" t="s">
        <v>283</v>
      </c>
      <c r="C187" s="155" t="s">
        <v>283</v>
      </c>
      <c r="D187" s="156" t="s">
        <v>283</v>
      </c>
      <c r="E187" s="156" t="s">
        <v>283</v>
      </c>
      <c r="F187" s="156" t="s">
        <v>283</v>
      </c>
      <c r="G187" s="156" t="s">
        <v>283</v>
      </c>
      <c r="H187" s="158" t="s">
        <v>283</v>
      </c>
    </row>
    <row r="188" spans="1:8" ht="16.5">
      <c r="A188" s="135"/>
      <c r="B188" s="157" t="s">
        <v>283</v>
      </c>
      <c r="C188" s="155" t="s">
        <v>283</v>
      </c>
      <c r="D188" s="156" t="s">
        <v>283</v>
      </c>
      <c r="E188" s="156" t="s">
        <v>283</v>
      </c>
      <c r="F188" s="156" t="s">
        <v>283</v>
      </c>
      <c r="G188" s="156" t="s">
        <v>283</v>
      </c>
      <c r="H188" s="158" t="s">
        <v>283</v>
      </c>
    </row>
    <row r="189" spans="1:8" ht="16.5">
      <c r="A189" s="135"/>
      <c r="B189" s="157" t="s">
        <v>283</v>
      </c>
      <c r="C189" s="155" t="s">
        <v>283</v>
      </c>
      <c r="D189" s="156" t="s">
        <v>283</v>
      </c>
      <c r="E189" s="156" t="s">
        <v>283</v>
      </c>
      <c r="F189" s="156" t="s">
        <v>283</v>
      </c>
      <c r="G189" s="156" t="s">
        <v>283</v>
      </c>
      <c r="H189" s="158" t="s">
        <v>283</v>
      </c>
    </row>
    <row r="190" spans="1:8" ht="16.5">
      <c r="A190" s="135"/>
      <c r="B190" s="157" t="s">
        <v>283</v>
      </c>
      <c r="C190" s="155" t="s">
        <v>283</v>
      </c>
      <c r="D190" s="156" t="s">
        <v>283</v>
      </c>
      <c r="E190" s="156" t="s">
        <v>283</v>
      </c>
      <c r="F190" s="156" t="s">
        <v>283</v>
      </c>
      <c r="G190" s="156" t="s">
        <v>283</v>
      </c>
      <c r="H190" s="158" t="s">
        <v>283</v>
      </c>
    </row>
    <row r="191" spans="1:8" ht="16.5">
      <c r="A191" s="135"/>
      <c r="B191" s="157" t="s">
        <v>283</v>
      </c>
      <c r="C191" s="155" t="s">
        <v>283</v>
      </c>
      <c r="D191" s="156" t="s">
        <v>283</v>
      </c>
      <c r="E191" s="156" t="s">
        <v>283</v>
      </c>
      <c r="F191" s="156" t="s">
        <v>283</v>
      </c>
      <c r="G191" s="156" t="s">
        <v>283</v>
      </c>
      <c r="H191" s="158" t="s">
        <v>283</v>
      </c>
    </row>
    <row r="192" spans="1:8" ht="16.5">
      <c r="A192" s="135"/>
      <c r="B192" s="157" t="s">
        <v>283</v>
      </c>
      <c r="C192" s="155" t="s">
        <v>283</v>
      </c>
      <c r="D192" s="156" t="s">
        <v>283</v>
      </c>
      <c r="E192" s="156" t="s">
        <v>283</v>
      </c>
      <c r="F192" s="156" t="s">
        <v>283</v>
      </c>
      <c r="G192" s="156" t="s">
        <v>283</v>
      </c>
      <c r="H192" s="158" t="s">
        <v>283</v>
      </c>
    </row>
    <row r="193" spans="1:8" ht="16.5">
      <c r="A193" s="135"/>
      <c r="B193" s="157" t="s">
        <v>283</v>
      </c>
      <c r="C193" s="155" t="s">
        <v>283</v>
      </c>
      <c r="D193" s="156" t="s">
        <v>283</v>
      </c>
      <c r="E193" s="156" t="s">
        <v>283</v>
      </c>
      <c r="F193" s="156" t="s">
        <v>283</v>
      </c>
      <c r="G193" s="156" t="s">
        <v>283</v>
      </c>
      <c r="H193" s="158" t="s">
        <v>283</v>
      </c>
    </row>
    <row r="194" spans="1:8" ht="16.5">
      <c r="A194" s="135"/>
      <c r="B194" s="157" t="s">
        <v>283</v>
      </c>
      <c r="C194" s="155" t="s">
        <v>283</v>
      </c>
      <c r="D194" s="156" t="s">
        <v>283</v>
      </c>
      <c r="E194" s="156" t="s">
        <v>283</v>
      </c>
      <c r="F194" s="156" t="s">
        <v>283</v>
      </c>
      <c r="G194" s="156" t="s">
        <v>283</v>
      </c>
      <c r="H194" s="158" t="s">
        <v>283</v>
      </c>
    </row>
    <row r="195" spans="1:8" ht="16.5">
      <c r="A195" s="135"/>
      <c r="B195" s="157" t="s">
        <v>283</v>
      </c>
      <c r="C195" s="155" t="s">
        <v>283</v>
      </c>
      <c r="D195" s="156" t="s">
        <v>283</v>
      </c>
      <c r="E195" s="156" t="s">
        <v>283</v>
      </c>
      <c r="F195" s="156" t="s">
        <v>283</v>
      </c>
      <c r="G195" s="156" t="s">
        <v>283</v>
      </c>
      <c r="H195" s="158" t="s">
        <v>283</v>
      </c>
    </row>
    <row r="196" spans="1:8" ht="16.5">
      <c r="A196" s="135"/>
      <c r="B196" s="157" t="s">
        <v>283</v>
      </c>
      <c r="C196" s="155" t="s">
        <v>283</v>
      </c>
      <c r="D196" s="156" t="s">
        <v>283</v>
      </c>
      <c r="E196" s="156" t="s">
        <v>283</v>
      </c>
      <c r="F196" s="156" t="s">
        <v>283</v>
      </c>
      <c r="G196" s="156" t="s">
        <v>283</v>
      </c>
      <c r="H196" s="158" t="s">
        <v>283</v>
      </c>
    </row>
    <row r="197" spans="1:8" ht="16.5">
      <c r="A197" s="135"/>
      <c r="B197" s="157" t="s">
        <v>283</v>
      </c>
      <c r="C197" s="155" t="s">
        <v>283</v>
      </c>
      <c r="D197" s="156" t="s">
        <v>283</v>
      </c>
      <c r="E197" s="156" t="s">
        <v>283</v>
      </c>
      <c r="F197" s="156" t="s">
        <v>283</v>
      </c>
      <c r="G197" s="156" t="s">
        <v>283</v>
      </c>
      <c r="H197" s="158" t="s">
        <v>283</v>
      </c>
    </row>
    <row r="198" spans="1:8" ht="16.5">
      <c r="A198" s="135"/>
      <c r="B198" s="157" t="s">
        <v>283</v>
      </c>
      <c r="C198" s="155" t="s">
        <v>283</v>
      </c>
      <c r="D198" s="156" t="s">
        <v>283</v>
      </c>
      <c r="E198" s="156" t="s">
        <v>283</v>
      </c>
      <c r="F198" s="156" t="s">
        <v>283</v>
      </c>
      <c r="G198" s="156" t="s">
        <v>283</v>
      </c>
      <c r="H198" s="158" t="s">
        <v>283</v>
      </c>
    </row>
    <row r="199" spans="1:8" ht="16.5">
      <c r="A199" s="135"/>
      <c r="B199" s="157" t="s">
        <v>283</v>
      </c>
      <c r="C199" s="155" t="s">
        <v>283</v>
      </c>
      <c r="D199" s="156" t="s">
        <v>283</v>
      </c>
      <c r="E199" s="156" t="s">
        <v>283</v>
      </c>
      <c r="F199" s="156" t="s">
        <v>283</v>
      </c>
      <c r="G199" s="156" t="s">
        <v>283</v>
      </c>
      <c r="H199" s="158" t="s">
        <v>283</v>
      </c>
    </row>
    <row r="200" spans="1:8" ht="16.5">
      <c r="A200" s="135"/>
      <c r="B200" s="157" t="s">
        <v>283</v>
      </c>
      <c r="C200" s="155" t="s">
        <v>283</v>
      </c>
      <c r="D200" s="156" t="s">
        <v>283</v>
      </c>
      <c r="E200" s="156" t="s">
        <v>283</v>
      </c>
      <c r="F200" s="156" t="s">
        <v>283</v>
      </c>
      <c r="G200" s="156" t="s">
        <v>283</v>
      </c>
      <c r="H200" s="158" t="s">
        <v>283</v>
      </c>
    </row>
    <row r="201" spans="1:8" ht="16.5">
      <c r="A201" s="135"/>
      <c r="B201" s="157" t="s">
        <v>283</v>
      </c>
      <c r="C201" s="155" t="s">
        <v>283</v>
      </c>
      <c r="D201" s="156" t="s">
        <v>283</v>
      </c>
      <c r="E201" s="156" t="s">
        <v>283</v>
      </c>
      <c r="F201" s="156" t="s">
        <v>283</v>
      </c>
      <c r="G201" s="156" t="s">
        <v>283</v>
      </c>
      <c r="H201" s="158" t="s">
        <v>283</v>
      </c>
    </row>
    <row r="202" spans="1:8" ht="16.5">
      <c r="A202" s="135"/>
      <c r="B202" s="157" t="s">
        <v>283</v>
      </c>
      <c r="C202" s="155" t="s">
        <v>283</v>
      </c>
      <c r="D202" s="156" t="s">
        <v>283</v>
      </c>
      <c r="E202" s="156" t="s">
        <v>283</v>
      </c>
      <c r="F202" s="156" t="s">
        <v>283</v>
      </c>
      <c r="G202" s="156" t="s">
        <v>283</v>
      </c>
      <c r="H202" s="158" t="s">
        <v>283</v>
      </c>
    </row>
    <row r="203" spans="1:8" ht="16.5">
      <c r="A203" s="135"/>
      <c r="B203" s="157" t="s">
        <v>283</v>
      </c>
      <c r="C203" s="155" t="s">
        <v>283</v>
      </c>
      <c r="D203" s="156" t="s">
        <v>283</v>
      </c>
      <c r="E203" s="156" t="s">
        <v>283</v>
      </c>
      <c r="F203" s="156" t="s">
        <v>283</v>
      </c>
      <c r="G203" s="156" t="s">
        <v>283</v>
      </c>
      <c r="H203" s="158" t="s">
        <v>283</v>
      </c>
    </row>
    <row r="204" spans="1:8" ht="16.5">
      <c r="A204" s="135"/>
      <c r="B204" s="157" t="s">
        <v>283</v>
      </c>
      <c r="C204" s="155" t="s">
        <v>283</v>
      </c>
      <c r="D204" s="156" t="s">
        <v>283</v>
      </c>
      <c r="E204" s="156" t="s">
        <v>283</v>
      </c>
      <c r="F204" s="156" t="s">
        <v>283</v>
      </c>
      <c r="G204" s="156" t="s">
        <v>283</v>
      </c>
      <c r="H204" s="158" t="s">
        <v>283</v>
      </c>
    </row>
    <row r="205" spans="1:8" ht="16.5">
      <c r="A205" s="135"/>
      <c r="B205" s="157" t="s">
        <v>283</v>
      </c>
      <c r="C205" s="155" t="s">
        <v>283</v>
      </c>
      <c r="D205" s="156" t="s">
        <v>283</v>
      </c>
      <c r="E205" s="156" t="s">
        <v>283</v>
      </c>
      <c r="F205" s="156" t="s">
        <v>283</v>
      </c>
      <c r="G205" s="156" t="s">
        <v>283</v>
      </c>
      <c r="H205" s="158" t="s">
        <v>283</v>
      </c>
    </row>
    <row r="206" spans="1:8" ht="16.5">
      <c r="A206" s="135"/>
      <c r="B206" s="157" t="s">
        <v>283</v>
      </c>
      <c r="C206" s="155" t="s">
        <v>283</v>
      </c>
      <c r="D206" s="156" t="s">
        <v>283</v>
      </c>
      <c r="E206" s="156" t="s">
        <v>283</v>
      </c>
      <c r="F206" s="156" t="s">
        <v>283</v>
      </c>
      <c r="G206" s="156" t="s">
        <v>283</v>
      </c>
      <c r="H206" s="158" t="s">
        <v>283</v>
      </c>
    </row>
    <row r="207" spans="1:8" ht="16.5">
      <c r="A207" s="135"/>
      <c r="B207" s="157" t="s">
        <v>283</v>
      </c>
      <c r="C207" s="155" t="s">
        <v>283</v>
      </c>
      <c r="D207" s="156" t="s">
        <v>283</v>
      </c>
      <c r="E207" s="156" t="s">
        <v>283</v>
      </c>
      <c r="F207" s="156" t="s">
        <v>283</v>
      </c>
      <c r="G207" s="156" t="s">
        <v>283</v>
      </c>
      <c r="H207" s="158" t="s">
        <v>283</v>
      </c>
    </row>
    <row r="208" spans="1:8" ht="16.5">
      <c r="A208" s="135"/>
      <c r="B208" s="157" t="s">
        <v>283</v>
      </c>
      <c r="C208" s="155" t="s">
        <v>283</v>
      </c>
      <c r="D208" s="156" t="s">
        <v>283</v>
      </c>
      <c r="E208" s="156" t="s">
        <v>283</v>
      </c>
      <c r="F208" s="156" t="s">
        <v>283</v>
      </c>
      <c r="G208" s="156" t="s">
        <v>283</v>
      </c>
      <c r="H208" s="158" t="s">
        <v>283</v>
      </c>
    </row>
    <row r="209" spans="1:8" ht="16.5">
      <c r="A209" s="135"/>
      <c r="B209" s="157" t="s">
        <v>283</v>
      </c>
      <c r="C209" s="155" t="s">
        <v>283</v>
      </c>
      <c r="D209" s="156" t="s">
        <v>283</v>
      </c>
      <c r="E209" s="156" t="s">
        <v>283</v>
      </c>
      <c r="F209" s="156" t="s">
        <v>283</v>
      </c>
      <c r="G209" s="156" t="s">
        <v>283</v>
      </c>
      <c r="H209" s="158" t="s">
        <v>283</v>
      </c>
    </row>
    <row r="210" spans="1:8" ht="16.5">
      <c r="A210" s="135"/>
      <c r="B210" s="157" t="s">
        <v>283</v>
      </c>
      <c r="C210" s="155" t="s">
        <v>283</v>
      </c>
      <c r="D210" s="156" t="s">
        <v>283</v>
      </c>
      <c r="E210" s="156" t="s">
        <v>283</v>
      </c>
      <c r="F210" s="156" t="s">
        <v>283</v>
      </c>
      <c r="G210" s="156" t="s">
        <v>283</v>
      </c>
      <c r="H210" s="158" t="s">
        <v>283</v>
      </c>
    </row>
    <row r="211" spans="1:8" ht="16.5">
      <c r="A211" s="135"/>
      <c r="B211" s="157" t="s">
        <v>283</v>
      </c>
      <c r="C211" s="155" t="s">
        <v>283</v>
      </c>
      <c r="D211" s="156" t="s">
        <v>283</v>
      </c>
      <c r="E211" s="156" t="s">
        <v>283</v>
      </c>
      <c r="F211" s="156" t="s">
        <v>283</v>
      </c>
      <c r="G211" s="156" t="s">
        <v>283</v>
      </c>
      <c r="H211" s="158" t="s">
        <v>283</v>
      </c>
    </row>
    <row r="212" spans="1:8" ht="16.5">
      <c r="A212" s="135"/>
      <c r="B212" s="157" t="s">
        <v>283</v>
      </c>
      <c r="C212" s="155" t="s">
        <v>283</v>
      </c>
      <c r="D212" s="156" t="s">
        <v>283</v>
      </c>
      <c r="E212" s="156" t="s">
        <v>283</v>
      </c>
      <c r="F212" s="156" t="s">
        <v>283</v>
      </c>
      <c r="G212" s="156" t="s">
        <v>283</v>
      </c>
      <c r="H212" s="158" t="s">
        <v>283</v>
      </c>
    </row>
    <row r="213" spans="1:8" ht="16.5">
      <c r="A213" s="135"/>
      <c r="B213" s="157" t="s">
        <v>283</v>
      </c>
      <c r="C213" s="155" t="s">
        <v>283</v>
      </c>
      <c r="D213" s="156" t="s">
        <v>283</v>
      </c>
      <c r="E213" s="156" t="s">
        <v>283</v>
      </c>
      <c r="F213" s="156" t="s">
        <v>283</v>
      </c>
      <c r="G213" s="156" t="s">
        <v>283</v>
      </c>
      <c r="H213" s="158" t="s">
        <v>283</v>
      </c>
    </row>
    <row r="214" spans="1:8" ht="16.5">
      <c r="A214" s="135"/>
      <c r="B214" s="157" t="s">
        <v>283</v>
      </c>
      <c r="C214" s="155" t="s">
        <v>283</v>
      </c>
      <c r="D214" s="156" t="s">
        <v>283</v>
      </c>
      <c r="E214" s="156" t="s">
        <v>283</v>
      </c>
      <c r="F214" s="156" t="s">
        <v>283</v>
      </c>
      <c r="G214" s="156" t="s">
        <v>283</v>
      </c>
      <c r="H214" s="158" t="s">
        <v>283</v>
      </c>
    </row>
    <row r="215" spans="1:8" ht="16.5">
      <c r="A215" s="135"/>
      <c r="B215" s="157" t="s">
        <v>283</v>
      </c>
      <c r="C215" s="155" t="s">
        <v>283</v>
      </c>
      <c r="D215" s="156" t="s">
        <v>283</v>
      </c>
      <c r="E215" s="156" t="s">
        <v>283</v>
      </c>
      <c r="F215" s="156" t="s">
        <v>283</v>
      </c>
      <c r="G215" s="156" t="s">
        <v>283</v>
      </c>
      <c r="H215" s="158" t="s">
        <v>283</v>
      </c>
    </row>
    <row r="216" spans="1:8" ht="16.5">
      <c r="A216" s="135"/>
      <c r="B216" s="157" t="s">
        <v>283</v>
      </c>
      <c r="C216" s="155" t="s">
        <v>283</v>
      </c>
      <c r="D216" s="156" t="s">
        <v>283</v>
      </c>
      <c r="E216" s="156" t="s">
        <v>283</v>
      </c>
      <c r="F216" s="156" t="s">
        <v>283</v>
      </c>
      <c r="G216" s="156" t="s">
        <v>283</v>
      </c>
      <c r="H216" s="158" t="s">
        <v>283</v>
      </c>
    </row>
    <row r="217" spans="1:8" ht="16.5">
      <c r="A217" s="135"/>
      <c r="B217" s="157" t="s">
        <v>283</v>
      </c>
      <c r="C217" s="155" t="s">
        <v>283</v>
      </c>
      <c r="D217" s="156" t="s">
        <v>283</v>
      </c>
      <c r="E217" s="156" t="s">
        <v>283</v>
      </c>
      <c r="F217" s="156" t="s">
        <v>283</v>
      </c>
      <c r="G217" s="156" t="s">
        <v>283</v>
      </c>
      <c r="H217" s="158" t="s">
        <v>283</v>
      </c>
    </row>
    <row r="218" spans="1:8" ht="16.5">
      <c r="A218" s="135"/>
      <c r="B218" s="157" t="s">
        <v>283</v>
      </c>
      <c r="C218" s="155" t="s">
        <v>283</v>
      </c>
      <c r="D218" s="156" t="s">
        <v>283</v>
      </c>
      <c r="E218" s="156" t="s">
        <v>283</v>
      </c>
      <c r="F218" s="156" t="s">
        <v>283</v>
      </c>
      <c r="G218" s="156" t="s">
        <v>283</v>
      </c>
      <c r="H218" s="158" t="s">
        <v>283</v>
      </c>
    </row>
    <row r="219" spans="1:8" ht="16.5">
      <c r="A219" s="135"/>
      <c r="B219" s="157" t="s">
        <v>283</v>
      </c>
      <c r="C219" s="155" t="s">
        <v>283</v>
      </c>
      <c r="D219" s="156" t="s">
        <v>283</v>
      </c>
      <c r="E219" s="156" t="s">
        <v>283</v>
      </c>
      <c r="F219" s="156" t="s">
        <v>283</v>
      </c>
      <c r="G219" s="156" t="s">
        <v>283</v>
      </c>
      <c r="H219" s="158" t="s">
        <v>283</v>
      </c>
    </row>
    <row r="220" spans="1:8" ht="16.5">
      <c r="A220" s="135"/>
      <c r="B220" s="157" t="s">
        <v>283</v>
      </c>
      <c r="C220" s="155" t="s">
        <v>283</v>
      </c>
      <c r="D220" s="156" t="s">
        <v>283</v>
      </c>
      <c r="E220" s="156" t="s">
        <v>283</v>
      </c>
      <c r="F220" s="156" t="s">
        <v>283</v>
      </c>
      <c r="G220" s="156" t="s">
        <v>283</v>
      </c>
      <c r="H220" s="158" t="s">
        <v>283</v>
      </c>
    </row>
    <row r="221" spans="1:8" ht="16.5">
      <c r="A221" s="135"/>
      <c r="B221" s="157" t="s">
        <v>283</v>
      </c>
      <c r="C221" s="155" t="s">
        <v>283</v>
      </c>
      <c r="D221" s="156" t="s">
        <v>283</v>
      </c>
      <c r="E221" s="156" t="s">
        <v>283</v>
      </c>
      <c r="F221" s="156" t="s">
        <v>283</v>
      </c>
      <c r="G221" s="156" t="s">
        <v>283</v>
      </c>
      <c r="H221" s="158" t="s">
        <v>283</v>
      </c>
    </row>
    <row r="222" spans="1:8" ht="16.5">
      <c r="A222" s="135"/>
      <c r="B222" s="157" t="s">
        <v>283</v>
      </c>
      <c r="C222" s="155" t="s">
        <v>283</v>
      </c>
      <c r="D222" s="156" t="s">
        <v>283</v>
      </c>
      <c r="E222" s="156" t="s">
        <v>283</v>
      </c>
      <c r="F222" s="156" t="s">
        <v>283</v>
      </c>
      <c r="G222" s="156" t="s">
        <v>283</v>
      </c>
      <c r="H222" s="158" t="s">
        <v>283</v>
      </c>
    </row>
    <row r="223" spans="1:8" ht="16.5">
      <c r="A223" s="135"/>
      <c r="B223" s="157" t="s">
        <v>283</v>
      </c>
      <c r="C223" s="155" t="s">
        <v>283</v>
      </c>
      <c r="D223" s="156" t="s">
        <v>283</v>
      </c>
      <c r="E223" s="156" t="s">
        <v>283</v>
      </c>
      <c r="F223" s="156" t="s">
        <v>283</v>
      </c>
      <c r="G223" s="156" t="s">
        <v>283</v>
      </c>
      <c r="H223" s="158" t="s">
        <v>283</v>
      </c>
    </row>
    <row r="224" spans="1:8" ht="16.5">
      <c r="A224" s="135"/>
      <c r="B224" s="157" t="s">
        <v>283</v>
      </c>
      <c r="C224" s="155" t="s">
        <v>283</v>
      </c>
      <c r="D224" s="156" t="s">
        <v>283</v>
      </c>
      <c r="E224" s="156" t="s">
        <v>283</v>
      </c>
      <c r="F224" s="156" t="s">
        <v>283</v>
      </c>
      <c r="G224" s="156" t="s">
        <v>283</v>
      </c>
      <c r="H224" s="158" t="s">
        <v>283</v>
      </c>
    </row>
    <row r="225" spans="1:8" ht="16.5">
      <c r="A225" s="135"/>
      <c r="B225" s="157" t="s">
        <v>283</v>
      </c>
      <c r="C225" s="155" t="s">
        <v>283</v>
      </c>
      <c r="D225" s="156" t="s">
        <v>283</v>
      </c>
      <c r="E225" s="156" t="s">
        <v>283</v>
      </c>
      <c r="F225" s="156" t="s">
        <v>283</v>
      </c>
      <c r="G225" s="156" t="s">
        <v>283</v>
      </c>
      <c r="H225" s="158" t="s">
        <v>283</v>
      </c>
    </row>
    <row r="226" spans="1:8" ht="16.5">
      <c r="A226" s="135"/>
      <c r="B226" s="157" t="s">
        <v>283</v>
      </c>
      <c r="C226" s="155" t="s">
        <v>283</v>
      </c>
      <c r="D226" s="156" t="s">
        <v>283</v>
      </c>
      <c r="E226" s="156" t="s">
        <v>283</v>
      </c>
      <c r="F226" s="156" t="s">
        <v>283</v>
      </c>
      <c r="G226" s="156" t="s">
        <v>283</v>
      </c>
      <c r="H226" s="158" t="s">
        <v>283</v>
      </c>
    </row>
    <row r="227" spans="1:8" ht="16.5">
      <c r="A227" s="135"/>
      <c r="B227" s="157" t="s">
        <v>283</v>
      </c>
      <c r="C227" s="155" t="s">
        <v>283</v>
      </c>
      <c r="D227" s="156" t="s">
        <v>283</v>
      </c>
      <c r="E227" s="156" t="s">
        <v>283</v>
      </c>
      <c r="F227" s="156" t="s">
        <v>283</v>
      </c>
      <c r="G227" s="156" t="s">
        <v>283</v>
      </c>
      <c r="H227" s="158" t="s">
        <v>283</v>
      </c>
    </row>
    <row r="228" spans="1:8" ht="16.5">
      <c r="A228" s="135"/>
      <c r="B228" s="157" t="s">
        <v>283</v>
      </c>
      <c r="C228" s="155" t="s">
        <v>283</v>
      </c>
      <c r="D228" s="156" t="s">
        <v>283</v>
      </c>
      <c r="E228" s="156" t="s">
        <v>283</v>
      </c>
      <c r="F228" s="156" t="s">
        <v>283</v>
      </c>
      <c r="G228" s="156" t="s">
        <v>283</v>
      </c>
      <c r="H228" s="158" t="s">
        <v>283</v>
      </c>
    </row>
    <row r="229" spans="1:8" ht="16.5">
      <c r="A229" s="135"/>
      <c r="B229" s="157" t="s">
        <v>283</v>
      </c>
      <c r="C229" s="155" t="s">
        <v>283</v>
      </c>
      <c r="D229" s="156" t="s">
        <v>283</v>
      </c>
      <c r="E229" s="156" t="s">
        <v>283</v>
      </c>
      <c r="F229" s="156" t="s">
        <v>283</v>
      </c>
      <c r="G229" s="156" t="s">
        <v>283</v>
      </c>
      <c r="H229" s="158" t="s">
        <v>283</v>
      </c>
    </row>
    <row r="230" spans="1:8" ht="16.5">
      <c r="A230" s="135"/>
      <c r="B230" s="157" t="s">
        <v>283</v>
      </c>
      <c r="C230" s="155" t="s">
        <v>283</v>
      </c>
      <c r="D230" s="156" t="s">
        <v>283</v>
      </c>
      <c r="E230" s="156" t="s">
        <v>283</v>
      </c>
      <c r="F230" s="156" t="s">
        <v>283</v>
      </c>
      <c r="G230" s="156" t="s">
        <v>283</v>
      </c>
      <c r="H230" s="158" t="s">
        <v>283</v>
      </c>
    </row>
    <row r="231" spans="1:8" ht="16.5">
      <c r="A231" s="135"/>
      <c r="B231" s="157" t="s">
        <v>283</v>
      </c>
      <c r="C231" s="155" t="s">
        <v>283</v>
      </c>
      <c r="D231" s="156" t="s">
        <v>283</v>
      </c>
      <c r="E231" s="156" t="s">
        <v>283</v>
      </c>
      <c r="F231" s="156" t="s">
        <v>283</v>
      </c>
      <c r="G231" s="156" t="s">
        <v>283</v>
      </c>
      <c r="H231" s="158" t="s">
        <v>283</v>
      </c>
    </row>
    <row r="232" spans="1:8" ht="16.5">
      <c r="A232" s="135"/>
      <c r="B232" s="157" t="s">
        <v>283</v>
      </c>
      <c r="C232" s="155" t="s">
        <v>283</v>
      </c>
      <c r="D232" s="156" t="s">
        <v>283</v>
      </c>
      <c r="E232" s="156" t="s">
        <v>283</v>
      </c>
      <c r="F232" s="156" t="s">
        <v>283</v>
      </c>
      <c r="G232" s="156" t="s">
        <v>283</v>
      </c>
      <c r="H232" s="158" t="s">
        <v>283</v>
      </c>
    </row>
    <row r="233" spans="1:8" ht="16.5">
      <c r="A233" s="135"/>
      <c r="B233" s="157" t="s">
        <v>283</v>
      </c>
      <c r="C233" s="155" t="s">
        <v>283</v>
      </c>
      <c r="D233" s="156" t="s">
        <v>283</v>
      </c>
      <c r="E233" s="156" t="s">
        <v>283</v>
      </c>
      <c r="F233" s="156" t="s">
        <v>283</v>
      </c>
      <c r="G233" s="156" t="s">
        <v>283</v>
      </c>
      <c r="H233" s="158" t="s">
        <v>283</v>
      </c>
    </row>
    <row r="234" spans="1:8" ht="16.5">
      <c r="A234" s="135"/>
      <c r="B234" s="157" t="s">
        <v>283</v>
      </c>
      <c r="C234" s="155" t="s">
        <v>283</v>
      </c>
      <c r="D234" s="156" t="s">
        <v>283</v>
      </c>
      <c r="E234" s="156" t="s">
        <v>283</v>
      </c>
      <c r="F234" s="156" t="s">
        <v>283</v>
      </c>
      <c r="G234" s="156" t="s">
        <v>283</v>
      </c>
      <c r="H234" s="158" t="s">
        <v>283</v>
      </c>
    </row>
    <row r="235" spans="1:8" ht="16.5">
      <c r="A235" s="135"/>
      <c r="B235" s="157" t="s">
        <v>283</v>
      </c>
      <c r="C235" s="155" t="s">
        <v>283</v>
      </c>
      <c r="D235" s="156" t="s">
        <v>283</v>
      </c>
      <c r="E235" s="156" t="s">
        <v>283</v>
      </c>
      <c r="F235" s="156" t="s">
        <v>283</v>
      </c>
      <c r="G235" s="156" t="s">
        <v>283</v>
      </c>
      <c r="H235" s="158" t="s">
        <v>283</v>
      </c>
    </row>
    <row r="236" spans="1:8" ht="16.5">
      <c r="A236" s="135"/>
      <c r="B236" s="157" t="s">
        <v>283</v>
      </c>
      <c r="C236" s="155" t="s">
        <v>283</v>
      </c>
      <c r="D236" s="156" t="s">
        <v>283</v>
      </c>
      <c r="E236" s="156" t="s">
        <v>283</v>
      </c>
      <c r="F236" s="156" t="s">
        <v>283</v>
      </c>
      <c r="G236" s="156" t="s">
        <v>283</v>
      </c>
      <c r="H236" s="158" t="s">
        <v>283</v>
      </c>
    </row>
    <row r="237" spans="1:8" ht="16.5">
      <c r="A237" s="135"/>
      <c r="B237" s="157" t="s">
        <v>283</v>
      </c>
      <c r="C237" s="155" t="s">
        <v>283</v>
      </c>
      <c r="D237" s="156" t="s">
        <v>283</v>
      </c>
      <c r="E237" s="156" t="s">
        <v>283</v>
      </c>
      <c r="F237" s="156" t="s">
        <v>283</v>
      </c>
      <c r="G237" s="156" t="s">
        <v>283</v>
      </c>
      <c r="H237" s="158" t="s">
        <v>283</v>
      </c>
    </row>
    <row r="238" spans="1:8" ht="16.5">
      <c r="A238" s="135"/>
      <c r="B238" s="157" t="s">
        <v>283</v>
      </c>
      <c r="C238" s="155" t="s">
        <v>283</v>
      </c>
      <c r="D238" s="156" t="s">
        <v>283</v>
      </c>
      <c r="E238" s="156" t="s">
        <v>283</v>
      </c>
      <c r="F238" s="156" t="s">
        <v>283</v>
      </c>
      <c r="G238" s="156" t="s">
        <v>283</v>
      </c>
      <c r="H238" s="158" t="s">
        <v>283</v>
      </c>
    </row>
    <row r="239" spans="1:8" ht="16.5">
      <c r="A239" s="135"/>
      <c r="B239" s="157" t="s">
        <v>283</v>
      </c>
      <c r="C239" s="155" t="s">
        <v>283</v>
      </c>
      <c r="D239" s="156" t="s">
        <v>283</v>
      </c>
      <c r="E239" s="156" t="s">
        <v>283</v>
      </c>
      <c r="F239" s="156" t="s">
        <v>283</v>
      </c>
      <c r="G239" s="156" t="s">
        <v>283</v>
      </c>
      <c r="H239" s="158" t="s">
        <v>283</v>
      </c>
    </row>
    <row r="240" spans="1:8" ht="16.5">
      <c r="A240" s="135"/>
      <c r="B240" s="157" t="s">
        <v>283</v>
      </c>
      <c r="C240" s="155" t="s">
        <v>283</v>
      </c>
      <c r="D240" s="156" t="s">
        <v>283</v>
      </c>
      <c r="E240" s="156" t="s">
        <v>283</v>
      </c>
      <c r="F240" s="156" t="s">
        <v>283</v>
      </c>
      <c r="G240" s="156" t="s">
        <v>283</v>
      </c>
      <c r="H240" s="158" t="s">
        <v>283</v>
      </c>
    </row>
    <row r="241" spans="1:8" ht="16.5">
      <c r="A241" s="135"/>
      <c r="B241" s="157" t="s">
        <v>283</v>
      </c>
      <c r="C241" s="155" t="s">
        <v>283</v>
      </c>
      <c r="D241" s="156" t="s">
        <v>283</v>
      </c>
      <c r="E241" s="156" t="s">
        <v>283</v>
      </c>
      <c r="F241" s="156" t="s">
        <v>283</v>
      </c>
      <c r="G241" s="156" t="s">
        <v>283</v>
      </c>
      <c r="H241" s="158" t="s">
        <v>283</v>
      </c>
    </row>
    <row r="242" spans="1:8" ht="16.5">
      <c r="A242" s="135"/>
      <c r="B242" s="157" t="s">
        <v>283</v>
      </c>
      <c r="C242" s="155" t="s">
        <v>283</v>
      </c>
      <c r="D242" s="156" t="s">
        <v>283</v>
      </c>
      <c r="E242" s="156" t="s">
        <v>283</v>
      </c>
      <c r="F242" s="156" t="s">
        <v>283</v>
      </c>
      <c r="G242" s="156" t="s">
        <v>283</v>
      </c>
      <c r="H242" s="158" t="s">
        <v>283</v>
      </c>
    </row>
    <row r="243" spans="1:8" ht="16.5">
      <c r="A243" s="135"/>
      <c r="B243" s="157" t="s">
        <v>283</v>
      </c>
      <c r="C243" s="155" t="s">
        <v>283</v>
      </c>
      <c r="D243" s="156" t="s">
        <v>283</v>
      </c>
      <c r="E243" s="156" t="s">
        <v>283</v>
      </c>
      <c r="F243" s="156" t="s">
        <v>283</v>
      </c>
      <c r="G243" s="156" t="s">
        <v>283</v>
      </c>
      <c r="H243" s="158" t="s">
        <v>283</v>
      </c>
    </row>
    <row r="244" spans="1:8" ht="16.5">
      <c r="A244" s="135"/>
      <c r="B244" s="157" t="s">
        <v>283</v>
      </c>
      <c r="C244" s="155" t="s">
        <v>283</v>
      </c>
      <c r="D244" s="156" t="s">
        <v>283</v>
      </c>
      <c r="E244" s="156" t="s">
        <v>283</v>
      </c>
      <c r="F244" s="156" t="s">
        <v>283</v>
      </c>
      <c r="G244" s="156" t="s">
        <v>283</v>
      </c>
      <c r="H244" s="158" t="s">
        <v>283</v>
      </c>
    </row>
    <row r="245" spans="1:8" ht="16.5">
      <c r="A245" s="135"/>
      <c r="B245" s="157" t="s">
        <v>283</v>
      </c>
      <c r="C245" s="155" t="s">
        <v>283</v>
      </c>
      <c r="D245" s="156" t="s">
        <v>283</v>
      </c>
      <c r="E245" s="156" t="s">
        <v>283</v>
      </c>
      <c r="F245" s="156" t="s">
        <v>283</v>
      </c>
      <c r="G245" s="156" t="s">
        <v>283</v>
      </c>
      <c r="H245" s="158" t="s">
        <v>283</v>
      </c>
    </row>
    <row r="246" spans="1:8" ht="16.5">
      <c r="A246" s="135"/>
      <c r="B246" s="157" t="s">
        <v>283</v>
      </c>
      <c r="C246" s="155" t="s">
        <v>283</v>
      </c>
      <c r="D246" s="156" t="s">
        <v>283</v>
      </c>
      <c r="E246" s="156" t="s">
        <v>283</v>
      </c>
      <c r="F246" s="156" t="s">
        <v>283</v>
      </c>
      <c r="G246" s="156" t="s">
        <v>283</v>
      </c>
      <c r="H246" s="158" t="s">
        <v>283</v>
      </c>
    </row>
    <row r="247" spans="1:8" ht="16.5">
      <c r="A247" s="135"/>
      <c r="B247" s="157" t="s">
        <v>283</v>
      </c>
      <c r="C247" s="155" t="s">
        <v>283</v>
      </c>
      <c r="D247" s="156" t="s">
        <v>283</v>
      </c>
      <c r="E247" s="156" t="s">
        <v>283</v>
      </c>
      <c r="F247" s="156" t="s">
        <v>283</v>
      </c>
      <c r="G247" s="156" t="s">
        <v>283</v>
      </c>
      <c r="H247" s="158" t="s">
        <v>283</v>
      </c>
    </row>
    <row r="248" spans="1:8" ht="16.5">
      <c r="A248" s="135"/>
      <c r="B248" s="157" t="s">
        <v>283</v>
      </c>
      <c r="C248" s="155" t="s">
        <v>283</v>
      </c>
      <c r="D248" s="156" t="s">
        <v>283</v>
      </c>
      <c r="E248" s="156" t="s">
        <v>283</v>
      </c>
      <c r="F248" s="156" t="s">
        <v>283</v>
      </c>
      <c r="G248" s="156" t="s">
        <v>283</v>
      </c>
      <c r="H248" s="158" t="s">
        <v>283</v>
      </c>
    </row>
    <row r="249" spans="1:8" ht="16.5">
      <c r="A249" s="135"/>
      <c r="B249" s="157" t="s">
        <v>283</v>
      </c>
      <c r="C249" s="155" t="s">
        <v>283</v>
      </c>
      <c r="D249" s="156" t="s">
        <v>283</v>
      </c>
      <c r="E249" s="156" t="s">
        <v>283</v>
      </c>
      <c r="F249" s="156" t="s">
        <v>283</v>
      </c>
      <c r="G249" s="156" t="s">
        <v>283</v>
      </c>
      <c r="H249" s="158" t="s">
        <v>283</v>
      </c>
    </row>
    <row r="250" spans="1:8" ht="16.5">
      <c r="A250" s="135"/>
      <c r="B250" s="157" t="s">
        <v>283</v>
      </c>
      <c r="C250" s="155" t="s">
        <v>283</v>
      </c>
      <c r="D250" s="156" t="s">
        <v>283</v>
      </c>
      <c r="E250" s="156" t="s">
        <v>283</v>
      </c>
      <c r="F250" s="156" t="s">
        <v>283</v>
      </c>
      <c r="G250" s="156" t="s">
        <v>283</v>
      </c>
      <c r="H250" s="158" t="s">
        <v>283</v>
      </c>
    </row>
    <row r="251" spans="1:8" ht="16.5">
      <c r="A251" s="135"/>
      <c r="B251" s="157" t="s">
        <v>283</v>
      </c>
      <c r="C251" s="155" t="s">
        <v>283</v>
      </c>
      <c r="D251" s="156" t="s">
        <v>283</v>
      </c>
      <c r="E251" s="156" t="s">
        <v>283</v>
      </c>
      <c r="F251" s="156" t="s">
        <v>283</v>
      </c>
      <c r="G251" s="156" t="s">
        <v>283</v>
      </c>
      <c r="H251" s="158" t="s">
        <v>283</v>
      </c>
    </row>
    <row r="252" spans="1:8" ht="16.5">
      <c r="A252" s="135"/>
      <c r="B252" s="157" t="s">
        <v>283</v>
      </c>
      <c r="C252" s="155" t="s">
        <v>283</v>
      </c>
      <c r="D252" s="156" t="s">
        <v>283</v>
      </c>
      <c r="E252" s="156" t="s">
        <v>283</v>
      </c>
      <c r="F252" s="156" t="s">
        <v>283</v>
      </c>
      <c r="G252" s="156" t="s">
        <v>283</v>
      </c>
      <c r="H252" s="158" t="s">
        <v>283</v>
      </c>
    </row>
    <row r="253" spans="1:8" ht="16.5">
      <c r="A253" s="135"/>
      <c r="B253" s="157" t="s">
        <v>283</v>
      </c>
      <c r="C253" s="155" t="s">
        <v>283</v>
      </c>
      <c r="D253" s="156" t="s">
        <v>283</v>
      </c>
      <c r="E253" s="156" t="s">
        <v>283</v>
      </c>
      <c r="F253" s="156" t="s">
        <v>283</v>
      </c>
      <c r="G253" s="156" t="s">
        <v>283</v>
      </c>
      <c r="H253" s="158" t="s">
        <v>283</v>
      </c>
    </row>
    <row r="254" spans="1:8" ht="16.5">
      <c r="A254" s="135"/>
      <c r="B254" s="157" t="s">
        <v>283</v>
      </c>
      <c r="C254" s="155" t="s">
        <v>283</v>
      </c>
      <c r="D254" s="156" t="s">
        <v>283</v>
      </c>
      <c r="E254" s="156" t="s">
        <v>283</v>
      </c>
      <c r="F254" s="156" t="s">
        <v>283</v>
      </c>
      <c r="G254" s="156" t="s">
        <v>283</v>
      </c>
      <c r="H254" s="158" t="s">
        <v>283</v>
      </c>
    </row>
    <row r="255" spans="1:8" ht="16.5">
      <c r="A255" s="135"/>
      <c r="B255" s="157" t="s">
        <v>283</v>
      </c>
      <c r="C255" s="155" t="s">
        <v>283</v>
      </c>
      <c r="D255" s="156" t="s">
        <v>283</v>
      </c>
      <c r="E255" s="156" t="s">
        <v>283</v>
      </c>
      <c r="F255" s="156" t="s">
        <v>283</v>
      </c>
      <c r="G255" s="156" t="s">
        <v>283</v>
      </c>
      <c r="H255" s="158" t="s">
        <v>283</v>
      </c>
    </row>
    <row r="256" spans="1:8" ht="16.5">
      <c r="A256" s="135"/>
      <c r="B256" s="157" t="s">
        <v>283</v>
      </c>
      <c r="C256" s="155" t="s">
        <v>283</v>
      </c>
      <c r="D256" s="156" t="s">
        <v>283</v>
      </c>
      <c r="E256" s="156" t="s">
        <v>283</v>
      </c>
      <c r="F256" s="156" t="s">
        <v>283</v>
      </c>
      <c r="G256" s="156" t="s">
        <v>283</v>
      </c>
      <c r="H256" s="158" t="s">
        <v>283</v>
      </c>
    </row>
    <row r="257" spans="1:8" ht="16.5">
      <c r="A257" s="135"/>
      <c r="B257" s="157" t="s">
        <v>283</v>
      </c>
      <c r="C257" s="155" t="s">
        <v>283</v>
      </c>
      <c r="D257" s="156" t="s">
        <v>283</v>
      </c>
      <c r="E257" s="156" t="s">
        <v>283</v>
      </c>
      <c r="F257" s="156" t="s">
        <v>283</v>
      </c>
      <c r="G257" s="156" t="s">
        <v>283</v>
      </c>
      <c r="H257" s="158" t="s">
        <v>283</v>
      </c>
    </row>
    <row r="258" spans="1:8" ht="16.5">
      <c r="A258" s="135"/>
      <c r="B258" s="157" t="s">
        <v>283</v>
      </c>
      <c r="C258" s="155" t="s">
        <v>283</v>
      </c>
      <c r="D258" s="156" t="s">
        <v>283</v>
      </c>
      <c r="E258" s="156" t="s">
        <v>283</v>
      </c>
      <c r="F258" s="156" t="s">
        <v>283</v>
      </c>
      <c r="G258" s="156" t="s">
        <v>283</v>
      </c>
      <c r="H258" s="158" t="s">
        <v>283</v>
      </c>
    </row>
    <row r="259" spans="1:8" ht="16.5">
      <c r="A259" s="135"/>
      <c r="B259" s="157" t="s">
        <v>283</v>
      </c>
      <c r="C259" s="155" t="s">
        <v>283</v>
      </c>
      <c r="D259" s="156" t="s">
        <v>283</v>
      </c>
      <c r="E259" s="156" t="s">
        <v>283</v>
      </c>
      <c r="F259" s="156" t="s">
        <v>283</v>
      </c>
      <c r="G259" s="156" t="s">
        <v>283</v>
      </c>
      <c r="H259" s="158" t="s">
        <v>283</v>
      </c>
    </row>
    <row r="260" spans="1:8" ht="16.5">
      <c r="A260" s="135"/>
      <c r="B260" s="157" t="s">
        <v>283</v>
      </c>
      <c r="C260" s="155" t="s">
        <v>283</v>
      </c>
      <c r="D260" s="156" t="s">
        <v>283</v>
      </c>
      <c r="E260" s="156" t="s">
        <v>283</v>
      </c>
      <c r="F260" s="156" t="s">
        <v>283</v>
      </c>
      <c r="G260" s="156" t="s">
        <v>283</v>
      </c>
      <c r="H260" s="158" t="s">
        <v>283</v>
      </c>
    </row>
    <row r="261" spans="1:8" ht="16.5">
      <c r="A261" s="135"/>
      <c r="B261" s="157" t="s">
        <v>283</v>
      </c>
      <c r="C261" s="155" t="s">
        <v>283</v>
      </c>
      <c r="D261" s="156" t="s">
        <v>283</v>
      </c>
      <c r="E261" s="156" t="s">
        <v>283</v>
      </c>
      <c r="F261" s="156" t="s">
        <v>283</v>
      </c>
      <c r="G261" s="156" t="s">
        <v>283</v>
      </c>
      <c r="H261" s="158" t="s">
        <v>283</v>
      </c>
    </row>
    <row r="262" spans="1:8" ht="16.5">
      <c r="A262" s="135"/>
      <c r="B262" s="157" t="s">
        <v>283</v>
      </c>
      <c r="C262" s="155" t="s">
        <v>283</v>
      </c>
      <c r="D262" s="156" t="s">
        <v>283</v>
      </c>
      <c r="E262" s="156" t="s">
        <v>283</v>
      </c>
      <c r="F262" s="156" t="s">
        <v>283</v>
      </c>
      <c r="G262" s="156" t="s">
        <v>283</v>
      </c>
      <c r="H262" s="158" t="s">
        <v>283</v>
      </c>
    </row>
    <row r="263" spans="1:8" ht="16.5">
      <c r="A263" s="135"/>
      <c r="B263" s="157" t="s">
        <v>283</v>
      </c>
      <c r="C263" s="155" t="s">
        <v>283</v>
      </c>
      <c r="D263" s="156" t="s">
        <v>283</v>
      </c>
      <c r="E263" s="156" t="s">
        <v>283</v>
      </c>
      <c r="F263" s="156" t="s">
        <v>283</v>
      </c>
      <c r="G263" s="156" t="s">
        <v>283</v>
      </c>
      <c r="H263" s="158" t="s">
        <v>283</v>
      </c>
    </row>
    <row r="264" spans="1:8" ht="16.5">
      <c r="A264" s="135"/>
      <c r="B264" s="157" t="s">
        <v>283</v>
      </c>
      <c r="C264" s="155" t="s">
        <v>283</v>
      </c>
      <c r="D264" s="156" t="s">
        <v>283</v>
      </c>
      <c r="E264" s="156" t="s">
        <v>283</v>
      </c>
      <c r="F264" s="156" t="s">
        <v>283</v>
      </c>
      <c r="G264" s="156" t="s">
        <v>283</v>
      </c>
      <c r="H264" s="158" t="s">
        <v>283</v>
      </c>
    </row>
    <row r="265" spans="1:8" ht="16.5">
      <c r="A265" s="135"/>
      <c r="B265" s="157" t="s">
        <v>283</v>
      </c>
      <c r="C265" s="155" t="s">
        <v>283</v>
      </c>
      <c r="D265" s="156" t="s">
        <v>283</v>
      </c>
      <c r="E265" s="156" t="s">
        <v>283</v>
      </c>
      <c r="F265" s="156" t="s">
        <v>283</v>
      </c>
      <c r="G265" s="156" t="s">
        <v>283</v>
      </c>
      <c r="H265" s="158" t="s">
        <v>283</v>
      </c>
    </row>
    <row r="266" spans="1:8" ht="16.5">
      <c r="A266" s="135"/>
      <c r="B266" s="157" t="s">
        <v>283</v>
      </c>
      <c r="C266" s="155" t="s">
        <v>283</v>
      </c>
      <c r="D266" s="156" t="s">
        <v>283</v>
      </c>
      <c r="E266" s="156" t="s">
        <v>283</v>
      </c>
      <c r="F266" s="156" t="s">
        <v>283</v>
      </c>
      <c r="G266" s="156" t="s">
        <v>283</v>
      </c>
      <c r="H266" s="158" t="s">
        <v>283</v>
      </c>
    </row>
    <row r="267" spans="1:8" ht="16.5">
      <c r="A267" s="135"/>
      <c r="B267" s="157" t="s">
        <v>283</v>
      </c>
      <c r="C267" s="155" t="s">
        <v>283</v>
      </c>
      <c r="D267" s="156" t="s">
        <v>283</v>
      </c>
      <c r="E267" s="156" t="s">
        <v>283</v>
      </c>
      <c r="F267" s="156" t="s">
        <v>283</v>
      </c>
      <c r="G267" s="156" t="s">
        <v>283</v>
      </c>
      <c r="H267" s="158" t="s">
        <v>283</v>
      </c>
    </row>
    <row r="268" spans="1:8" ht="16.5">
      <c r="A268" s="135"/>
      <c r="B268" s="157" t="s">
        <v>283</v>
      </c>
      <c r="C268" s="155" t="s">
        <v>283</v>
      </c>
      <c r="D268" s="156" t="s">
        <v>283</v>
      </c>
      <c r="E268" s="156" t="s">
        <v>283</v>
      </c>
      <c r="F268" s="156" t="s">
        <v>283</v>
      </c>
      <c r="G268" s="156" t="s">
        <v>283</v>
      </c>
      <c r="H268" s="158" t="s">
        <v>283</v>
      </c>
    </row>
    <row r="269" spans="1:8" ht="16.5">
      <c r="A269" s="135"/>
      <c r="B269" s="157" t="s">
        <v>283</v>
      </c>
      <c r="C269" s="155" t="s">
        <v>283</v>
      </c>
      <c r="D269" s="156" t="s">
        <v>283</v>
      </c>
      <c r="E269" s="156" t="s">
        <v>283</v>
      </c>
      <c r="F269" s="156" t="s">
        <v>283</v>
      </c>
      <c r="G269" s="156" t="s">
        <v>283</v>
      </c>
      <c r="H269" s="158" t="s">
        <v>283</v>
      </c>
    </row>
    <row r="270" spans="1:8" ht="16.5">
      <c r="A270" s="135"/>
      <c r="B270" s="157" t="s">
        <v>283</v>
      </c>
      <c r="C270" s="155" t="s">
        <v>283</v>
      </c>
      <c r="D270" s="156" t="s">
        <v>283</v>
      </c>
      <c r="E270" s="156" t="s">
        <v>283</v>
      </c>
      <c r="F270" s="156" t="s">
        <v>283</v>
      </c>
      <c r="G270" s="156" t="s">
        <v>283</v>
      </c>
      <c r="H270" s="158" t="s">
        <v>283</v>
      </c>
    </row>
    <row r="271" spans="1:8" ht="16.5">
      <c r="A271" s="135"/>
      <c r="B271" s="157" t="s">
        <v>283</v>
      </c>
      <c r="C271" s="155" t="s">
        <v>283</v>
      </c>
      <c r="D271" s="156" t="s">
        <v>283</v>
      </c>
      <c r="E271" s="156" t="s">
        <v>283</v>
      </c>
      <c r="F271" s="156" t="s">
        <v>283</v>
      </c>
      <c r="G271" s="156" t="s">
        <v>283</v>
      </c>
      <c r="H271" s="158" t="s">
        <v>283</v>
      </c>
    </row>
    <row r="272" spans="1:8" ht="16.5">
      <c r="A272" s="135"/>
      <c r="B272" s="157" t="s">
        <v>283</v>
      </c>
      <c r="C272" s="155" t="s">
        <v>283</v>
      </c>
      <c r="D272" s="156" t="s">
        <v>283</v>
      </c>
      <c r="E272" s="156" t="s">
        <v>283</v>
      </c>
      <c r="F272" s="156" t="s">
        <v>283</v>
      </c>
      <c r="G272" s="156" t="s">
        <v>283</v>
      </c>
      <c r="H272" s="158" t="s">
        <v>283</v>
      </c>
    </row>
    <row r="273" spans="1:8" ht="16.5">
      <c r="A273" s="135"/>
      <c r="B273" s="157" t="s">
        <v>283</v>
      </c>
      <c r="C273" s="155" t="s">
        <v>283</v>
      </c>
      <c r="D273" s="156" t="s">
        <v>283</v>
      </c>
      <c r="E273" s="156" t="s">
        <v>283</v>
      </c>
      <c r="F273" s="156" t="s">
        <v>283</v>
      </c>
      <c r="G273" s="156" t="s">
        <v>283</v>
      </c>
      <c r="H273" s="158" t="s">
        <v>283</v>
      </c>
    </row>
    <row r="274" spans="1:8" ht="16.5">
      <c r="A274" s="135"/>
      <c r="B274" s="157" t="s">
        <v>283</v>
      </c>
      <c r="C274" s="155" t="s">
        <v>283</v>
      </c>
      <c r="D274" s="156" t="s">
        <v>283</v>
      </c>
      <c r="E274" s="156" t="s">
        <v>283</v>
      </c>
      <c r="F274" s="156" t="s">
        <v>283</v>
      </c>
      <c r="G274" s="156" t="s">
        <v>283</v>
      </c>
      <c r="H274" s="158" t="s">
        <v>283</v>
      </c>
    </row>
    <row r="275" spans="1:8" ht="16.5">
      <c r="A275" s="135"/>
      <c r="B275" s="157" t="s">
        <v>283</v>
      </c>
      <c r="C275" s="155" t="s">
        <v>283</v>
      </c>
      <c r="D275" s="156" t="s">
        <v>283</v>
      </c>
      <c r="E275" s="156" t="s">
        <v>283</v>
      </c>
      <c r="F275" s="156" t="s">
        <v>283</v>
      </c>
      <c r="G275" s="156" t="s">
        <v>283</v>
      </c>
      <c r="H275" s="158" t="s">
        <v>283</v>
      </c>
    </row>
    <row r="276" spans="1:8" ht="16.5">
      <c r="A276" s="135"/>
      <c r="B276" s="157" t="s">
        <v>283</v>
      </c>
      <c r="C276" s="155" t="s">
        <v>283</v>
      </c>
      <c r="D276" s="156" t="s">
        <v>283</v>
      </c>
      <c r="E276" s="156" t="s">
        <v>283</v>
      </c>
      <c r="F276" s="156" t="s">
        <v>283</v>
      </c>
      <c r="G276" s="156" t="s">
        <v>283</v>
      </c>
      <c r="H276" s="158" t="s">
        <v>283</v>
      </c>
    </row>
    <row r="277" spans="1:8" ht="16.5">
      <c r="A277" s="135"/>
      <c r="B277" s="157" t="s">
        <v>283</v>
      </c>
      <c r="C277" s="155" t="s">
        <v>283</v>
      </c>
      <c r="D277" s="156" t="s">
        <v>283</v>
      </c>
      <c r="E277" s="156" t="s">
        <v>283</v>
      </c>
      <c r="F277" s="156" t="s">
        <v>283</v>
      </c>
      <c r="G277" s="156" t="s">
        <v>283</v>
      </c>
      <c r="H277" s="158" t="s">
        <v>283</v>
      </c>
    </row>
    <row r="278" spans="1:8" ht="16.5">
      <c r="A278" s="135"/>
      <c r="B278" s="157" t="s">
        <v>283</v>
      </c>
      <c r="C278" s="155" t="s">
        <v>283</v>
      </c>
      <c r="D278" s="156" t="s">
        <v>283</v>
      </c>
      <c r="E278" s="156" t="s">
        <v>283</v>
      </c>
      <c r="F278" s="156" t="s">
        <v>283</v>
      </c>
      <c r="G278" s="156" t="s">
        <v>283</v>
      </c>
      <c r="H278" s="158" t="s">
        <v>283</v>
      </c>
    </row>
    <row r="279" spans="1:8" ht="16.5">
      <c r="A279" s="135"/>
      <c r="B279" s="157" t="s">
        <v>283</v>
      </c>
      <c r="C279" s="155" t="s">
        <v>283</v>
      </c>
      <c r="D279" s="156" t="s">
        <v>283</v>
      </c>
      <c r="E279" s="156" t="s">
        <v>283</v>
      </c>
      <c r="F279" s="156" t="s">
        <v>283</v>
      </c>
      <c r="G279" s="156" t="s">
        <v>283</v>
      </c>
      <c r="H279" s="158" t="s">
        <v>283</v>
      </c>
    </row>
    <row r="280" spans="1:8" ht="16.5">
      <c r="A280" s="135"/>
      <c r="B280" s="157" t="s">
        <v>283</v>
      </c>
      <c r="C280" s="155" t="s">
        <v>283</v>
      </c>
      <c r="D280" s="156" t="s">
        <v>283</v>
      </c>
      <c r="E280" s="156" t="s">
        <v>283</v>
      </c>
      <c r="F280" s="156" t="s">
        <v>283</v>
      </c>
      <c r="G280" s="156" t="s">
        <v>283</v>
      </c>
      <c r="H280" s="158" t="s">
        <v>283</v>
      </c>
    </row>
    <row r="281" spans="1:8" ht="16.5">
      <c r="A281" s="135"/>
      <c r="B281" s="157" t="s">
        <v>283</v>
      </c>
      <c r="C281" s="155" t="s">
        <v>283</v>
      </c>
      <c r="D281" s="156" t="s">
        <v>283</v>
      </c>
      <c r="E281" s="156" t="s">
        <v>283</v>
      </c>
      <c r="F281" s="156" t="s">
        <v>283</v>
      </c>
      <c r="G281" s="156" t="s">
        <v>283</v>
      </c>
      <c r="H281" s="158" t="s">
        <v>283</v>
      </c>
    </row>
    <row r="282" spans="1:8" ht="16.5">
      <c r="A282" s="135"/>
      <c r="B282" s="157" t="s">
        <v>283</v>
      </c>
      <c r="C282" s="155" t="s">
        <v>283</v>
      </c>
      <c r="D282" s="156" t="s">
        <v>283</v>
      </c>
      <c r="E282" s="156" t="s">
        <v>283</v>
      </c>
      <c r="F282" s="156" t="s">
        <v>283</v>
      </c>
      <c r="G282" s="156" t="s">
        <v>283</v>
      </c>
      <c r="H282" s="158" t="s">
        <v>283</v>
      </c>
    </row>
    <row r="283" spans="1:8" ht="16.5">
      <c r="A283" s="135"/>
      <c r="B283" s="157" t="s">
        <v>283</v>
      </c>
      <c r="C283" s="155" t="s">
        <v>283</v>
      </c>
      <c r="D283" s="156" t="s">
        <v>283</v>
      </c>
      <c r="E283" s="156" t="s">
        <v>283</v>
      </c>
      <c r="F283" s="156" t="s">
        <v>283</v>
      </c>
      <c r="G283" s="156" t="s">
        <v>283</v>
      </c>
      <c r="H283" s="158" t="s">
        <v>283</v>
      </c>
    </row>
    <row r="284" spans="1:8" ht="16.5">
      <c r="A284" s="135"/>
      <c r="B284" s="157" t="s">
        <v>283</v>
      </c>
      <c r="C284" s="155" t="s">
        <v>283</v>
      </c>
      <c r="D284" s="156" t="s">
        <v>283</v>
      </c>
      <c r="E284" s="156" t="s">
        <v>283</v>
      </c>
      <c r="F284" s="156" t="s">
        <v>283</v>
      </c>
      <c r="G284" s="156" t="s">
        <v>283</v>
      </c>
      <c r="H284" s="158" t="s">
        <v>283</v>
      </c>
    </row>
    <row r="285" spans="1:8" ht="16.5">
      <c r="A285" s="135"/>
      <c r="B285" s="157" t="s">
        <v>283</v>
      </c>
      <c r="C285" s="155" t="s">
        <v>283</v>
      </c>
      <c r="D285" s="156" t="s">
        <v>283</v>
      </c>
      <c r="E285" s="156" t="s">
        <v>283</v>
      </c>
      <c r="F285" s="156" t="s">
        <v>283</v>
      </c>
      <c r="G285" s="156" t="s">
        <v>283</v>
      </c>
      <c r="H285" s="158" t="s">
        <v>283</v>
      </c>
    </row>
    <row r="286" spans="1:8" ht="16.5">
      <c r="A286" s="135"/>
      <c r="B286" s="157" t="s">
        <v>283</v>
      </c>
      <c r="C286" s="155" t="s">
        <v>283</v>
      </c>
      <c r="D286" s="156" t="s">
        <v>283</v>
      </c>
      <c r="E286" s="156" t="s">
        <v>283</v>
      </c>
      <c r="F286" s="156" t="s">
        <v>283</v>
      </c>
      <c r="G286" s="156" t="s">
        <v>283</v>
      </c>
      <c r="H286" s="158" t="s">
        <v>283</v>
      </c>
    </row>
    <row r="287" spans="1:8" ht="16.5">
      <c r="A287" s="135"/>
      <c r="B287" s="157" t="s">
        <v>283</v>
      </c>
      <c r="C287" s="155" t="s">
        <v>283</v>
      </c>
      <c r="D287" s="156" t="s">
        <v>283</v>
      </c>
      <c r="E287" s="156" t="s">
        <v>283</v>
      </c>
      <c r="F287" s="156" t="s">
        <v>283</v>
      </c>
      <c r="G287" s="156" t="s">
        <v>283</v>
      </c>
      <c r="H287" s="158" t="s">
        <v>283</v>
      </c>
    </row>
    <row r="288" spans="1:8" ht="16.5">
      <c r="A288" s="135"/>
      <c r="B288" s="157" t="s">
        <v>283</v>
      </c>
      <c r="C288" s="155" t="s">
        <v>283</v>
      </c>
      <c r="D288" s="156" t="s">
        <v>283</v>
      </c>
      <c r="E288" s="156" t="s">
        <v>283</v>
      </c>
      <c r="F288" s="156" t="s">
        <v>283</v>
      </c>
      <c r="G288" s="156" t="s">
        <v>283</v>
      </c>
      <c r="H288" s="158" t="s">
        <v>283</v>
      </c>
    </row>
    <row r="289" spans="1:8" ht="16.5">
      <c r="A289" s="135"/>
      <c r="B289" s="157" t="s">
        <v>283</v>
      </c>
      <c r="C289" s="155" t="s">
        <v>283</v>
      </c>
      <c r="D289" s="156" t="s">
        <v>283</v>
      </c>
      <c r="E289" s="156" t="s">
        <v>283</v>
      </c>
      <c r="F289" s="156" t="s">
        <v>283</v>
      </c>
      <c r="G289" s="156" t="s">
        <v>283</v>
      </c>
      <c r="H289" s="158" t="s">
        <v>283</v>
      </c>
    </row>
    <row r="290" spans="1:8" ht="16.5">
      <c r="A290" s="135"/>
      <c r="B290" s="157" t="s">
        <v>283</v>
      </c>
      <c r="C290" s="155" t="s">
        <v>283</v>
      </c>
      <c r="D290" s="156" t="s">
        <v>283</v>
      </c>
      <c r="E290" s="156" t="s">
        <v>283</v>
      </c>
      <c r="F290" s="156" t="s">
        <v>283</v>
      </c>
      <c r="G290" s="156" t="s">
        <v>283</v>
      </c>
      <c r="H290" s="158" t="s">
        <v>283</v>
      </c>
    </row>
    <row r="291" spans="1:8" ht="16.5">
      <c r="A291" s="135"/>
      <c r="B291" s="157" t="s">
        <v>283</v>
      </c>
      <c r="C291" s="155" t="s">
        <v>283</v>
      </c>
      <c r="D291" s="156" t="s">
        <v>283</v>
      </c>
      <c r="E291" s="156" t="s">
        <v>283</v>
      </c>
      <c r="F291" s="156" t="s">
        <v>283</v>
      </c>
      <c r="G291" s="156" t="s">
        <v>283</v>
      </c>
      <c r="H291" s="158" t="s">
        <v>283</v>
      </c>
    </row>
    <row r="292" spans="1:8" ht="16.5">
      <c r="A292" s="135"/>
      <c r="B292" s="157" t="s">
        <v>283</v>
      </c>
      <c r="C292" s="155" t="s">
        <v>283</v>
      </c>
      <c r="D292" s="156" t="s">
        <v>283</v>
      </c>
      <c r="E292" s="156" t="s">
        <v>283</v>
      </c>
      <c r="F292" s="156" t="s">
        <v>283</v>
      </c>
      <c r="G292" s="156" t="s">
        <v>283</v>
      </c>
      <c r="H292" s="158" t="s">
        <v>283</v>
      </c>
    </row>
    <row r="293" spans="1:8" ht="16.5">
      <c r="A293" s="135"/>
      <c r="B293" s="157" t="s">
        <v>283</v>
      </c>
      <c r="C293" s="155" t="s">
        <v>283</v>
      </c>
      <c r="D293" s="156" t="s">
        <v>283</v>
      </c>
      <c r="E293" s="156" t="s">
        <v>283</v>
      </c>
      <c r="F293" s="156" t="s">
        <v>283</v>
      </c>
      <c r="G293" s="156" t="s">
        <v>283</v>
      </c>
      <c r="H293" s="158" t="s">
        <v>283</v>
      </c>
    </row>
    <row r="294" spans="1:8" ht="16.5">
      <c r="A294" s="135"/>
      <c r="B294" s="157" t="s">
        <v>283</v>
      </c>
      <c r="C294" s="155" t="s">
        <v>283</v>
      </c>
      <c r="D294" s="156" t="s">
        <v>283</v>
      </c>
      <c r="E294" s="156" t="s">
        <v>283</v>
      </c>
      <c r="F294" s="156" t="s">
        <v>283</v>
      </c>
      <c r="G294" s="156" t="s">
        <v>283</v>
      </c>
      <c r="H294" s="158" t="s">
        <v>283</v>
      </c>
    </row>
    <row r="295" spans="1:8" ht="16.5">
      <c r="A295" s="135"/>
      <c r="B295" s="157" t="s">
        <v>283</v>
      </c>
      <c r="C295" s="155" t="s">
        <v>283</v>
      </c>
      <c r="D295" s="156" t="s">
        <v>283</v>
      </c>
      <c r="E295" s="156" t="s">
        <v>283</v>
      </c>
      <c r="F295" s="156" t="s">
        <v>283</v>
      </c>
      <c r="G295" s="156" t="s">
        <v>283</v>
      </c>
      <c r="H295" s="158" t="s">
        <v>283</v>
      </c>
    </row>
    <row r="296" spans="1:8" ht="16.5">
      <c r="A296" s="135"/>
      <c r="B296" s="157" t="s">
        <v>283</v>
      </c>
      <c r="C296" s="155" t="s">
        <v>283</v>
      </c>
      <c r="D296" s="156" t="s">
        <v>283</v>
      </c>
      <c r="E296" s="156" t="s">
        <v>283</v>
      </c>
      <c r="F296" s="156" t="s">
        <v>283</v>
      </c>
      <c r="G296" s="156" t="s">
        <v>283</v>
      </c>
      <c r="H296" s="158" t="s">
        <v>283</v>
      </c>
    </row>
    <row r="297" spans="1:8" ht="16.5">
      <c r="A297" s="135"/>
      <c r="B297" s="157" t="s">
        <v>283</v>
      </c>
      <c r="C297" s="155" t="s">
        <v>283</v>
      </c>
      <c r="D297" s="156" t="s">
        <v>283</v>
      </c>
      <c r="E297" s="156" t="s">
        <v>283</v>
      </c>
      <c r="F297" s="156" t="s">
        <v>283</v>
      </c>
      <c r="G297" s="156" t="s">
        <v>283</v>
      </c>
      <c r="H297" s="158" t="s">
        <v>283</v>
      </c>
    </row>
    <row r="298" spans="1:8" ht="16.5">
      <c r="A298" s="135"/>
      <c r="B298" s="157" t="s">
        <v>283</v>
      </c>
      <c r="C298" s="155" t="s">
        <v>283</v>
      </c>
      <c r="D298" s="156" t="s">
        <v>283</v>
      </c>
      <c r="E298" s="156" t="s">
        <v>283</v>
      </c>
      <c r="F298" s="156" t="s">
        <v>283</v>
      </c>
      <c r="G298" s="156" t="s">
        <v>283</v>
      </c>
      <c r="H298" s="158" t="s">
        <v>283</v>
      </c>
    </row>
    <row r="299" spans="1:8" ht="16.5">
      <c r="A299" s="135"/>
      <c r="B299" s="157" t="s">
        <v>283</v>
      </c>
      <c r="C299" s="155" t="s">
        <v>283</v>
      </c>
      <c r="D299" s="156" t="s">
        <v>283</v>
      </c>
      <c r="E299" s="156" t="s">
        <v>283</v>
      </c>
      <c r="F299" s="156" t="s">
        <v>283</v>
      </c>
      <c r="G299" s="156" t="s">
        <v>283</v>
      </c>
      <c r="H299" s="158" t="s">
        <v>283</v>
      </c>
    </row>
    <row r="300" spans="1:8" ht="16.5">
      <c r="A300" s="135"/>
      <c r="B300" s="157" t="s">
        <v>283</v>
      </c>
      <c r="C300" s="155" t="s">
        <v>283</v>
      </c>
      <c r="D300" s="156" t="s">
        <v>283</v>
      </c>
      <c r="E300" s="156" t="s">
        <v>283</v>
      </c>
      <c r="F300" s="156" t="s">
        <v>283</v>
      </c>
      <c r="G300" s="156" t="s">
        <v>283</v>
      </c>
      <c r="H300" s="158" t="s">
        <v>283</v>
      </c>
    </row>
    <row r="301" spans="1:8" ht="16.5">
      <c r="A301" s="135"/>
      <c r="B301" s="159" t="s">
        <v>283</v>
      </c>
      <c r="C301" s="155" t="s">
        <v>283</v>
      </c>
      <c r="D301" s="156" t="s">
        <v>283</v>
      </c>
      <c r="E301" s="156" t="s">
        <v>283</v>
      </c>
      <c r="F301" s="156" t="s">
        <v>283</v>
      </c>
      <c r="G301" s="156" t="s">
        <v>283</v>
      </c>
      <c r="H301" s="158" t="s">
        <v>283</v>
      </c>
    </row>
    <row r="302" spans="1:8" ht="16.5">
      <c r="A302" s="135"/>
      <c r="B302" s="159" t="s">
        <v>283</v>
      </c>
      <c r="C302" s="155" t="s">
        <v>283</v>
      </c>
      <c r="D302" s="156" t="s">
        <v>283</v>
      </c>
      <c r="E302" s="156" t="s">
        <v>283</v>
      </c>
      <c r="F302" s="156" t="s">
        <v>283</v>
      </c>
      <c r="G302" s="156" t="s">
        <v>283</v>
      </c>
      <c r="H302" s="158" t="s">
        <v>283</v>
      </c>
    </row>
    <row r="303" spans="1:8" ht="16.5">
      <c r="A303" s="135"/>
      <c r="B303" s="159" t="s">
        <v>283</v>
      </c>
      <c r="C303" s="155" t="s">
        <v>283</v>
      </c>
      <c r="D303" s="156" t="s">
        <v>283</v>
      </c>
      <c r="E303" s="156" t="s">
        <v>283</v>
      </c>
      <c r="F303" s="156" t="s">
        <v>283</v>
      </c>
      <c r="G303" s="156" t="s">
        <v>283</v>
      </c>
      <c r="H303" s="158" t="s">
        <v>283</v>
      </c>
    </row>
    <row r="304" spans="1:8" ht="16.5">
      <c r="A304" s="135"/>
      <c r="B304" s="159" t="s">
        <v>283</v>
      </c>
      <c r="C304" s="155" t="s">
        <v>283</v>
      </c>
      <c r="D304" s="156" t="s">
        <v>283</v>
      </c>
      <c r="E304" s="156" t="s">
        <v>283</v>
      </c>
      <c r="F304" s="156" t="s">
        <v>283</v>
      </c>
      <c r="G304" s="156" t="s">
        <v>283</v>
      </c>
      <c r="H304" s="158" t="s">
        <v>283</v>
      </c>
    </row>
    <row r="305" spans="1:8" ht="16.5">
      <c r="A305" s="135"/>
      <c r="B305" s="159" t="s">
        <v>283</v>
      </c>
      <c r="C305" s="155" t="s">
        <v>283</v>
      </c>
      <c r="D305" s="156" t="s">
        <v>283</v>
      </c>
      <c r="E305" s="156" t="s">
        <v>283</v>
      </c>
      <c r="F305" s="156" t="s">
        <v>283</v>
      </c>
      <c r="G305" s="156" t="s">
        <v>283</v>
      </c>
      <c r="H305" s="158" t="s">
        <v>283</v>
      </c>
    </row>
    <row r="306" spans="1:8" ht="16.5">
      <c r="A306" s="135"/>
      <c r="B306" s="159" t="s">
        <v>283</v>
      </c>
      <c r="C306" s="155" t="s">
        <v>283</v>
      </c>
      <c r="D306" s="156" t="s">
        <v>283</v>
      </c>
      <c r="E306" s="156" t="s">
        <v>283</v>
      </c>
      <c r="F306" s="156" t="s">
        <v>283</v>
      </c>
      <c r="G306" s="156" t="s">
        <v>283</v>
      </c>
      <c r="H306" s="158" t="s">
        <v>283</v>
      </c>
    </row>
    <row r="307" spans="1:8" ht="16.5">
      <c r="A307" s="135"/>
      <c r="B307" s="159" t="s">
        <v>283</v>
      </c>
      <c r="C307" s="155" t="s">
        <v>283</v>
      </c>
      <c r="D307" s="156" t="s">
        <v>283</v>
      </c>
      <c r="E307" s="156" t="s">
        <v>283</v>
      </c>
      <c r="F307" s="156" t="s">
        <v>283</v>
      </c>
      <c r="G307" s="156" t="s">
        <v>283</v>
      </c>
      <c r="H307" s="158" t="s">
        <v>283</v>
      </c>
    </row>
    <row r="308" spans="1:8" ht="16.5">
      <c r="A308" s="135"/>
      <c r="B308" s="159" t="s">
        <v>283</v>
      </c>
      <c r="C308" s="155" t="s">
        <v>283</v>
      </c>
      <c r="D308" s="156" t="s">
        <v>283</v>
      </c>
      <c r="E308" s="156" t="s">
        <v>283</v>
      </c>
      <c r="F308" s="156" t="s">
        <v>283</v>
      </c>
      <c r="G308" s="156" t="s">
        <v>283</v>
      </c>
      <c r="H308" s="158" t="s">
        <v>283</v>
      </c>
    </row>
    <row r="309" spans="1:8" ht="16.5">
      <c r="A309" s="135"/>
      <c r="B309" s="159" t="s">
        <v>283</v>
      </c>
      <c r="C309" s="155" t="s">
        <v>283</v>
      </c>
      <c r="D309" s="156" t="s">
        <v>283</v>
      </c>
      <c r="E309" s="156" t="s">
        <v>283</v>
      </c>
      <c r="F309" s="156" t="s">
        <v>283</v>
      </c>
      <c r="G309" s="156" t="s">
        <v>283</v>
      </c>
      <c r="H309" s="158" t="s">
        <v>283</v>
      </c>
    </row>
    <row r="310" spans="1:8" ht="16.5">
      <c r="A310" s="135"/>
      <c r="B310" s="159" t="s">
        <v>283</v>
      </c>
      <c r="C310" s="155" t="s">
        <v>283</v>
      </c>
      <c r="D310" s="156" t="s">
        <v>283</v>
      </c>
      <c r="E310" s="156" t="s">
        <v>283</v>
      </c>
      <c r="F310" s="156" t="s">
        <v>283</v>
      </c>
      <c r="G310" s="156" t="s">
        <v>283</v>
      </c>
      <c r="H310" s="158" t="s">
        <v>283</v>
      </c>
    </row>
    <row r="311" spans="1:8" ht="16.5">
      <c r="A311" s="135"/>
      <c r="B311" s="159" t="s">
        <v>283</v>
      </c>
      <c r="C311" s="155" t="s">
        <v>283</v>
      </c>
      <c r="D311" s="156" t="s">
        <v>283</v>
      </c>
      <c r="E311" s="156" t="s">
        <v>283</v>
      </c>
      <c r="F311" s="156" t="s">
        <v>283</v>
      </c>
      <c r="G311" s="156" t="s">
        <v>283</v>
      </c>
      <c r="H311" s="158" t="s">
        <v>283</v>
      </c>
    </row>
    <row r="312" spans="1:8" ht="16.5">
      <c r="A312" s="135"/>
      <c r="B312" s="159" t="s">
        <v>283</v>
      </c>
      <c r="C312" s="155" t="s">
        <v>283</v>
      </c>
      <c r="D312" s="156" t="s">
        <v>283</v>
      </c>
      <c r="E312" s="156" t="s">
        <v>283</v>
      </c>
      <c r="F312" s="156" t="s">
        <v>283</v>
      </c>
      <c r="G312" s="156" t="s">
        <v>283</v>
      </c>
      <c r="H312" s="158" t="s">
        <v>283</v>
      </c>
    </row>
    <row r="313" spans="1:8" ht="16.5">
      <c r="A313" s="135"/>
      <c r="B313" s="159" t="s">
        <v>283</v>
      </c>
      <c r="C313" s="155" t="s">
        <v>283</v>
      </c>
      <c r="D313" s="156" t="s">
        <v>283</v>
      </c>
      <c r="E313" s="156" t="s">
        <v>283</v>
      </c>
      <c r="F313" s="156" t="s">
        <v>283</v>
      </c>
      <c r="G313" s="156" t="s">
        <v>283</v>
      </c>
      <c r="H313" s="158" t="s">
        <v>283</v>
      </c>
    </row>
    <row r="314" spans="1:8" ht="16.5">
      <c r="A314" s="135"/>
      <c r="B314" s="159" t="s">
        <v>283</v>
      </c>
      <c r="C314" s="155" t="s">
        <v>283</v>
      </c>
      <c r="D314" s="156" t="s">
        <v>283</v>
      </c>
      <c r="E314" s="156" t="s">
        <v>283</v>
      </c>
      <c r="F314" s="156" t="s">
        <v>283</v>
      </c>
      <c r="G314" s="156" t="s">
        <v>283</v>
      </c>
      <c r="H314" s="158" t="s">
        <v>283</v>
      </c>
    </row>
    <row r="315" spans="1:8" ht="16.5">
      <c r="A315" s="135"/>
      <c r="B315" s="159" t="s">
        <v>283</v>
      </c>
      <c r="C315" s="155" t="s">
        <v>283</v>
      </c>
      <c r="D315" s="156" t="s">
        <v>283</v>
      </c>
      <c r="E315" s="156" t="s">
        <v>283</v>
      </c>
      <c r="F315" s="156" t="s">
        <v>283</v>
      </c>
      <c r="G315" s="156" t="s">
        <v>283</v>
      </c>
      <c r="H315" s="158" t="s">
        <v>283</v>
      </c>
    </row>
    <row r="316" spans="1:8" ht="16.5">
      <c r="A316" s="135"/>
      <c r="B316" s="159" t="s">
        <v>283</v>
      </c>
      <c r="C316" s="155" t="s">
        <v>283</v>
      </c>
      <c r="D316" s="156" t="s">
        <v>283</v>
      </c>
      <c r="E316" s="156" t="s">
        <v>283</v>
      </c>
      <c r="F316" s="156" t="s">
        <v>283</v>
      </c>
      <c r="G316" s="156" t="s">
        <v>283</v>
      </c>
      <c r="H316" s="158" t="s">
        <v>283</v>
      </c>
    </row>
    <row r="317" spans="1:8" ht="16.5">
      <c r="A317" s="135"/>
      <c r="B317" s="159" t="s">
        <v>283</v>
      </c>
      <c r="C317" s="155" t="s">
        <v>283</v>
      </c>
      <c r="D317" s="156" t="s">
        <v>283</v>
      </c>
      <c r="E317" s="156" t="s">
        <v>283</v>
      </c>
      <c r="F317" s="156" t="s">
        <v>283</v>
      </c>
      <c r="G317" s="156" t="s">
        <v>283</v>
      </c>
      <c r="H317" s="158" t="s">
        <v>283</v>
      </c>
    </row>
    <row r="318" spans="1:8" ht="16.5">
      <c r="A318" s="135"/>
      <c r="B318" s="159" t="s">
        <v>283</v>
      </c>
      <c r="C318" s="155" t="s">
        <v>283</v>
      </c>
      <c r="D318" s="156" t="s">
        <v>283</v>
      </c>
      <c r="E318" s="156" t="s">
        <v>283</v>
      </c>
      <c r="F318" s="156" t="s">
        <v>283</v>
      </c>
      <c r="G318" s="156" t="s">
        <v>283</v>
      </c>
      <c r="H318" s="158" t="s">
        <v>283</v>
      </c>
    </row>
    <row r="319" spans="1:8" ht="16.5">
      <c r="A319" s="135"/>
      <c r="B319" s="159" t="s">
        <v>283</v>
      </c>
      <c r="C319" s="155" t="s">
        <v>283</v>
      </c>
      <c r="D319" s="156" t="s">
        <v>283</v>
      </c>
      <c r="E319" s="156" t="s">
        <v>283</v>
      </c>
      <c r="F319" s="156" t="s">
        <v>283</v>
      </c>
      <c r="G319" s="156" t="s">
        <v>283</v>
      </c>
      <c r="H319" s="158" t="s">
        <v>283</v>
      </c>
    </row>
    <row r="320" spans="1:8" ht="16.5">
      <c r="A320" s="135"/>
      <c r="B320" s="159" t="s">
        <v>283</v>
      </c>
      <c r="C320" s="155" t="s">
        <v>283</v>
      </c>
      <c r="D320" s="156" t="s">
        <v>283</v>
      </c>
      <c r="E320" s="156" t="s">
        <v>283</v>
      </c>
      <c r="F320" s="156" t="s">
        <v>283</v>
      </c>
      <c r="G320" s="156" t="s">
        <v>283</v>
      </c>
      <c r="H320" s="158" t="s">
        <v>283</v>
      </c>
    </row>
    <row r="321" spans="1:8" ht="16.5">
      <c r="A321" s="135"/>
      <c r="B321" s="159" t="s">
        <v>283</v>
      </c>
      <c r="C321" s="155" t="s">
        <v>283</v>
      </c>
      <c r="D321" s="156" t="s">
        <v>283</v>
      </c>
      <c r="E321" s="156" t="s">
        <v>283</v>
      </c>
      <c r="F321" s="156" t="s">
        <v>283</v>
      </c>
      <c r="G321" s="156" t="s">
        <v>283</v>
      </c>
      <c r="H321" s="158" t="s">
        <v>283</v>
      </c>
    </row>
    <row r="322" spans="1:8" ht="16.5">
      <c r="A322" s="135"/>
      <c r="B322" s="159" t="s">
        <v>283</v>
      </c>
      <c r="C322" s="155" t="s">
        <v>283</v>
      </c>
      <c r="D322" s="156" t="s">
        <v>283</v>
      </c>
      <c r="E322" s="156" t="s">
        <v>283</v>
      </c>
      <c r="F322" s="156" t="s">
        <v>283</v>
      </c>
      <c r="G322" s="156" t="s">
        <v>283</v>
      </c>
      <c r="H322" s="158" t="s">
        <v>283</v>
      </c>
    </row>
    <row r="323" spans="1:8" ht="16.5">
      <c r="A323" s="135"/>
      <c r="B323" s="159" t="s">
        <v>283</v>
      </c>
      <c r="C323" s="155" t="s">
        <v>283</v>
      </c>
      <c r="D323" s="156" t="s">
        <v>283</v>
      </c>
      <c r="E323" s="156" t="s">
        <v>283</v>
      </c>
      <c r="F323" s="156" t="s">
        <v>283</v>
      </c>
      <c r="G323" s="156" t="s">
        <v>283</v>
      </c>
      <c r="H323" s="158" t="s">
        <v>283</v>
      </c>
    </row>
    <row r="324" spans="1:8" ht="16.5">
      <c r="A324" s="135"/>
      <c r="B324" s="159" t="s">
        <v>283</v>
      </c>
      <c r="C324" s="155" t="s">
        <v>283</v>
      </c>
      <c r="D324" s="156" t="s">
        <v>283</v>
      </c>
      <c r="E324" s="156" t="s">
        <v>283</v>
      </c>
      <c r="F324" s="156" t="s">
        <v>283</v>
      </c>
      <c r="G324" s="156" t="s">
        <v>283</v>
      </c>
      <c r="H324" s="158" t="s">
        <v>283</v>
      </c>
    </row>
    <row r="325" spans="1:8" ht="16.5">
      <c r="A325" s="135"/>
      <c r="B325" s="159" t="s">
        <v>283</v>
      </c>
      <c r="C325" s="155" t="s">
        <v>283</v>
      </c>
      <c r="D325" s="156" t="s">
        <v>283</v>
      </c>
      <c r="E325" s="156" t="s">
        <v>283</v>
      </c>
      <c r="F325" s="156" t="s">
        <v>283</v>
      </c>
      <c r="G325" s="156" t="s">
        <v>283</v>
      </c>
      <c r="H325" s="158" t="s">
        <v>283</v>
      </c>
    </row>
    <row r="326" spans="1:8" ht="16.5">
      <c r="A326" s="135"/>
      <c r="B326" s="159" t="s">
        <v>283</v>
      </c>
      <c r="C326" s="155" t="s">
        <v>283</v>
      </c>
      <c r="D326" s="156" t="s">
        <v>283</v>
      </c>
      <c r="E326" s="156" t="s">
        <v>283</v>
      </c>
      <c r="F326" s="156" t="s">
        <v>283</v>
      </c>
      <c r="G326" s="156" t="s">
        <v>283</v>
      </c>
      <c r="H326" s="158" t="s">
        <v>283</v>
      </c>
    </row>
    <row r="327" spans="1:8" ht="16.5">
      <c r="A327" s="135"/>
      <c r="B327" s="159" t="s">
        <v>283</v>
      </c>
      <c r="C327" s="155" t="s">
        <v>283</v>
      </c>
      <c r="D327" s="156" t="s">
        <v>283</v>
      </c>
      <c r="E327" s="156" t="s">
        <v>283</v>
      </c>
      <c r="F327" s="156" t="s">
        <v>283</v>
      </c>
      <c r="G327" s="156" t="s">
        <v>283</v>
      </c>
      <c r="H327" s="158" t="s">
        <v>283</v>
      </c>
    </row>
    <row r="328" spans="1:8" ht="16.5">
      <c r="A328" s="135"/>
      <c r="B328" s="159" t="s">
        <v>283</v>
      </c>
      <c r="C328" s="155" t="s">
        <v>283</v>
      </c>
      <c r="D328" s="156" t="s">
        <v>283</v>
      </c>
      <c r="E328" s="156" t="s">
        <v>283</v>
      </c>
      <c r="F328" s="156" t="s">
        <v>283</v>
      </c>
      <c r="G328" s="156" t="s">
        <v>283</v>
      </c>
      <c r="H328" s="158" t="s">
        <v>283</v>
      </c>
    </row>
    <row r="329" spans="1:8" ht="16.5">
      <c r="A329" s="135"/>
      <c r="B329" s="159" t="s">
        <v>283</v>
      </c>
      <c r="C329" s="155" t="s">
        <v>283</v>
      </c>
      <c r="D329" s="156" t="s">
        <v>283</v>
      </c>
      <c r="E329" s="156" t="s">
        <v>283</v>
      </c>
      <c r="F329" s="156" t="s">
        <v>283</v>
      </c>
      <c r="G329" s="156" t="s">
        <v>283</v>
      </c>
      <c r="H329" s="158" t="s">
        <v>283</v>
      </c>
    </row>
    <row r="330" spans="1:8" ht="16.5">
      <c r="A330" s="135"/>
      <c r="B330" s="159" t="s">
        <v>283</v>
      </c>
      <c r="C330" s="155" t="s">
        <v>283</v>
      </c>
      <c r="D330" s="156" t="s">
        <v>283</v>
      </c>
      <c r="E330" s="156" t="s">
        <v>283</v>
      </c>
      <c r="F330" s="156" t="s">
        <v>283</v>
      </c>
      <c r="G330" s="156" t="s">
        <v>283</v>
      </c>
      <c r="H330" s="158" t="s">
        <v>283</v>
      </c>
    </row>
    <row r="331" spans="1:8" ht="16.5">
      <c r="A331" s="135"/>
      <c r="B331" s="159" t="s">
        <v>283</v>
      </c>
      <c r="C331" s="155" t="s">
        <v>283</v>
      </c>
      <c r="D331" s="156" t="s">
        <v>283</v>
      </c>
      <c r="E331" s="156" t="s">
        <v>283</v>
      </c>
      <c r="F331" s="156" t="s">
        <v>283</v>
      </c>
      <c r="G331" s="156" t="s">
        <v>283</v>
      </c>
      <c r="H331" s="158" t="s">
        <v>283</v>
      </c>
    </row>
    <row r="332" spans="1:8" ht="16.5">
      <c r="A332" s="135"/>
      <c r="B332" s="159" t="s">
        <v>283</v>
      </c>
      <c r="C332" s="155" t="s">
        <v>283</v>
      </c>
      <c r="D332" s="156" t="s">
        <v>283</v>
      </c>
      <c r="E332" s="156" t="s">
        <v>283</v>
      </c>
      <c r="F332" s="156" t="s">
        <v>283</v>
      </c>
      <c r="G332" s="156" t="s">
        <v>283</v>
      </c>
      <c r="H332" s="158" t="s">
        <v>283</v>
      </c>
    </row>
    <row r="333" spans="1:8" ht="16.5">
      <c r="A333" s="135"/>
      <c r="B333" s="159" t="s">
        <v>283</v>
      </c>
      <c r="C333" s="155" t="s">
        <v>283</v>
      </c>
      <c r="D333" s="156" t="s">
        <v>283</v>
      </c>
      <c r="E333" s="156" t="s">
        <v>283</v>
      </c>
      <c r="F333" s="156" t="s">
        <v>283</v>
      </c>
      <c r="G333" s="156" t="s">
        <v>283</v>
      </c>
      <c r="H333" s="158" t="s">
        <v>283</v>
      </c>
    </row>
    <row r="334" spans="1:8" ht="16.5">
      <c r="A334" s="135"/>
      <c r="B334" s="159" t="s">
        <v>283</v>
      </c>
      <c r="C334" s="155" t="s">
        <v>283</v>
      </c>
      <c r="D334" s="156" t="s">
        <v>283</v>
      </c>
      <c r="E334" s="156" t="s">
        <v>283</v>
      </c>
      <c r="F334" s="156" t="s">
        <v>283</v>
      </c>
      <c r="G334" s="156" t="s">
        <v>283</v>
      </c>
      <c r="H334" s="158" t="s">
        <v>283</v>
      </c>
    </row>
    <row r="335" spans="1:8" ht="16.5">
      <c r="A335" s="135"/>
      <c r="B335" s="159" t="s">
        <v>283</v>
      </c>
      <c r="C335" s="155" t="s">
        <v>283</v>
      </c>
      <c r="D335" s="156" t="s">
        <v>283</v>
      </c>
      <c r="E335" s="156" t="s">
        <v>283</v>
      </c>
      <c r="F335" s="156" t="s">
        <v>283</v>
      </c>
      <c r="G335" s="156" t="s">
        <v>283</v>
      </c>
      <c r="H335" s="158" t="s">
        <v>283</v>
      </c>
    </row>
    <row r="336" spans="1:8" ht="16.5">
      <c r="A336" s="135"/>
      <c r="B336" s="159" t="s">
        <v>283</v>
      </c>
      <c r="C336" s="155" t="s">
        <v>283</v>
      </c>
      <c r="D336" s="156" t="s">
        <v>283</v>
      </c>
      <c r="E336" s="156" t="s">
        <v>283</v>
      </c>
      <c r="F336" s="156" t="s">
        <v>283</v>
      </c>
      <c r="G336" s="156" t="s">
        <v>283</v>
      </c>
      <c r="H336" s="158" t="s">
        <v>283</v>
      </c>
    </row>
    <row r="337" spans="1:8" ht="16.5">
      <c r="A337" s="135"/>
      <c r="B337" s="159" t="s">
        <v>283</v>
      </c>
      <c r="C337" s="155" t="s">
        <v>283</v>
      </c>
      <c r="D337" s="156" t="s">
        <v>283</v>
      </c>
      <c r="E337" s="156" t="s">
        <v>283</v>
      </c>
      <c r="F337" s="156" t="s">
        <v>283</v>
      </c>
      <c r="G337" s="156" t="s">
        <v>283</v>
      </c>
      <c r="H337" s="158" t="s">
        <v>283</v>
      </c>
    </row>
    <row r="338" spans="1:8" ht="16.5">
      <c r="A338" s="135"/>
      <c r="B338" s="159" t="s">
        <v>283</v>
      </c>
      <c r="C338" s="155" t="s">
        <v>283</v>
      </c>
      <c r="D338" s="156" t="s">
        <v>283</v>
      </c>
      <c r="E338" s="156" t="s">
        <v>283</v>
      </c>
      <c r="F338" s="156" t="s">
        <v>283</v>
      </c>
      <c r="G338" s="156" t="s">
        <v>283</v>
      </c>
      <c r="H338" s="158" t="s">
        <v>283</v>
      </c>
    </row>
    <row r="339" spans="1:8" ht="16.5">
      <c r="A339" s="135"/>
      <c r="B339" s="159" t="s">
        <v>283</v>
      </c>
      <c r="C339" s="155" t="s">
        <v>283</v>
      </c>
      <c r="D339" s="156" t="s">
        <v>283</v>
      </c>
      <c r="E339" s="156" t="s">
        <v>283</v>
      </c>
      <c r="F339" s="156" t="s">
        <v>283</v>
      </c>
      <c r="G339" s="156" t="s">
        <v>283</v>
      </c>
      <c r="H339" s="158" t="s">
        <v>283</v>
      </c>
    </row>
    <row r="340" spans="1:8" ht="16.5">
      <c r="A340" s="135"/>
      <c r="B340" s="159" t="s">
        <v>283</v>
      </c>
      <c r="C340" s="155" t="s">
        <v>283</v>
      </c>
      <c r="D340" s="156" t="s">
        <v>283</v>
      </c>
      <c r="E340" s="156" t="s">
        <v>283</v>
      </c>
      <c r="F340" s="156" t="s">
        <v>283</v>
      </c>
      <c r="G340" s="156" t="s">
        <v>283</v>
      </c>
      <c r="H340" s="158" t="s">
        <v>283</v>
      </c>
    </row>
    <row r="341" spans="1:8" ht="16.5">
      <c r="A341" s="135"/>
      <c r="B341" s="159" t="s">
        <v>283</v>
      </c>
      <c r="C341" s="155" t="s">
        <v>283</v>
      </c>
      <c r="D341" s="156" t="s">
        <v>283</v>
      </c>
      <c r="E341" s="156" t="s">
        <v>283</v>
      </c>
      <c r="F341" s="156" t="s">
        <v>283</v>
      </c>
      <c r="G341" s="156" t="s">
        <v>283</v>
      </c>
      <c r="H341" s="158" t="s">
        <v>283</v>
      </c>
    </row>
    <row r="342" spans="1:8" ht="16.5">
      <c r="A342" s="135"/>
      <c r="B342" s="159" t="s">
        <v>283</v>
      </c>
      <c r="C342" s="155" t="s">
        <v>283</v>
      </c>
      <c r="D342" s="156" t="s">
        <v>283</v>
      </c>
      <c r="E342" s="156" t="s">
        <v>283</v>
      </c>
      <c r="F342" s="156" t="s">
        <v>283</v>
      </c>
      <c r="G342" s="156" t="s">
        <v>283</v>
      </c>
      <c r="H342" s="158" t="s">
        <v>283</v>
      </c>
    </row>
    <row r="343" spans="1:8" ht="16.5">
      <c r="A343" s="135"/>
      <c r="B343" s="159" t="s">
        <v>283</v>
      </c>
      <c r="C343" s="155" t="s">
        <v>283</v>
      </c>
      <c r="D343" s="156" t="s">
        <v>283</v>
      </c>
      <c r="E343" s="156" t="s">
        <v>283</v>
      </c>
      <c r="F343" s="156" t="s">
        <v>283</v>
      </c>
      <c r="G343" s="156" t="s">
        <v>283</v>
      </c>
      <c r="H343" s="158" t="s">
        <v>283</v>
      </c>
    </row>
    <row r="344" spans="1:8" ht="16.5">
      <c r="A344" s="135"/>
      <c r="B344" s="159" t="s">
        <v>283</v>
      </c>
      <c r="C344" s="155" t="s">
        <v>283</v>
      </c>
      <c r="D344" s="156" t="s">
        <v>283</v>
      </c>
      <c r="E344" s="156" t="s">
        <v>283</v>
      </c>
      <c r="F344" s="156" t="s">
        <v>283</v>
      </c>
      <c r="G344" s="156" t="s">
        <v>283</v>
      </c>
      <c r="H344" s="158" t="s">
        <v>283</v>
      </c>
    </row>
    <row r="345" spans="1:8" ht="16.5">
      <c r="A345" s="135"/>
      <c r="B345" s="159" t="s">
        <v>283</v>
      </c>
      <c r="C345" s="155" t="s">
        <v>283</v>
      </c>
      <c r="D345" s="156" t="s">
        <v>283</v>
      </c>
      <c r="E345" s="156" t="s">
        <v>283</v>
      </c>
      <c r="F345" s="156" t="s">
        <v>283</v>
      </c>
      <c r="G345" s="156" t="s">
        <v>283</v>
      </c>
      <c r="H345" s="158" t="s">
        <v>283</v>
      </c>
    </row>
    <row r="346" spans="1:8" ht="16.5">
      <c r="A346" s="135"/>
      <c r="B346" s="159" t="s">
        <v>283</v>
      </c>
      <c r="C346" s="155" t="s">
        <v>283</v>
      </c>
      <c r="D346" s="156" t="s">
        <v>283</v>
      </c>
      <c r="E346" s="156" t="s">
        <v>283</v>
      </c>
      <c r="F346" s="156" t="s">
        <v>283</v>
      </c>
      <c r="G346" s="156" t="s">
        <v>283</v>
      </c>
      <c r="H346" s="158" t="s">
        <v>283</v>
      </c>
    </row>
    <row r="347" spans="1:8" ht="16.5">
      <c r="A347" s="135"/>
      <c r="B347" s="159" t="s">
        <v>283</v>
      </c>
      <c r="C347" s="155" t="s">
        <v>283</v>
      </c>
      <c r="D347" s="156" t="s">
        <v>283</v>
      </c>
      <c r="E347" s="156" t="s">
        <v>283</v>
      </c>
      <c r="F347" s="156" t="s">
        <v>283</v>
      </c>
      <c r="G347" s="156" t="s">
        <v>283</v>
      </c>
      <c r="H347" s="158" t="s">
        <v>283</v>
      </c>
    </row>
    <row r="348" spans="1:8" ht="16.5">
      <c r="A348" s="135"/>
      <c r="B348" s="159" t="s">
        <v>283</v>
      </c>
      <c r="C348" s="155" t="s">
        <v>283</v>
      </c>
      <c r="D348" s="156" t="s">
        <v>283</v>
      </c>
      <c r="E348" s="156" t="s">
        <v>283</v>
      </c>
      <c r="F348" s="156" t="s">
        <v>283</v>
      </c>
      <c r="G348" s="156" t="s">
        <v>283</v>
      </c>
      <c r="H348" s="158" t="s">
        <v>283</v>
      </c>
    </row>
    <row r="349" spans="1:8" ht="16.5">
      <c r="A349" s="135"/>
      <c r="B349" s="159" t="s">
        <v>283</v>
      </c>
      <c r="C349" s="155" t="s">
        <v>283</v>
      </c>
      <c r="D349" s="156" t="s">
        <v>283</v>
      </c>
      <c r="E349" s="156" t="s">
        <v>283</v>
      </c>
      <c r="F349" s="156" t="s">
        <v>283</v>
      </c>
      <c r="G349" s="156" t="s">
        <v>283</v>
      </c>
      <c r="H349" s="158" t="s">
        <v>283</v>
      </c>
    </row>
    <row r="350" spans="1:8" ht="16.5">
      <c r="A350" s="135"/>
      <c r="B350" s="159" t="s">
        <v>283</v>
      </c>
      <c r="C350" s="155" t="s">
        <v>283</v>
      </c>
      <c r="D350" s="156" t="s">
        <v>283</v>
      </c>
      <c r="E350" s="156" t="s">
        <v>283</v>
      </c>
      <c r="F350" s="156" t="s">
        <v>283</v>
      </c>
      <c r="G350" s="156" t="s">
        <v>283</v>
      </c>
      <c r="H350" s="158" t="s">
        <v>283</v>
      </c>
    </row>
    <row r="351" spans="1:8" ht="16.5">
      <c r="A351" s="135"/>
      <c r="B351" s="159" t="s">
        <v>283</v>
      </c>
      <c r="C351" s="155" t="s">
        <v>283</v>
      </c>
      <c r="D351" s="156" t="s">
        <v>283</v>
      </c>
      <c r="E351" s="156" t="s">
        <v>283</v>
      </c>
      <c r="F351" s="156" t="s">
        <v>283</v>
      </c>
      <c r="G351" s="156" t="s">
        <v>283</v>
      </c>
      <c r="H351" s="158" t="s">
        <v>283</v>
      </c>
    </row>
    <row r="352" spans="1:8" ht="16.5">
      <c r="A352" s="135"/>
      <c r="B352" s="159" t="s">
        <v>283</v>
      </c>
      <c r="C352" s="155" t="s">
        <v>283</v>
      </c>
      <c r="D352" s="156" t="s">
        <v>283</v>
      </c>
      <c r="E352" s="156" t="s">
        <v>283</v>
      </c>
      <c r="F352" s="156" t="s">
        <v>283</v>
      </c>
      <c r="G352" s="156" t="s">
        <v>283</v>
      </c>
      <c r="H352" s="158" t="s">
        <v>283</v>
      </c>
    </row>
    <row r="353" spans="1:8" ht="16.5">
      <c r="A353" s="135"/>
      <c r="B353" s="159" t="s">
        <v>283</v>
      </c>
      <c r="C353" s="155" t="s">
        <v>283</v>
      </c>
      <c r="D353" s="156" t="s">
        <v>283</v>
      </c>
      <c r="E353" s="156" t="s">
        <v>283</v>
      </c>
      <c r="F353" s="156" t="s">
        <v>283</v>
      </c>
      <c r="G353" s="156" t="s">
        <v>283</v>
      </c>
      <c r="H353" s="158" t="s">
        <v>283</v>
      </c>
    </row>
    <row r="354" spans="1:8" ht="16.5">
      <c r="A354" s="135"/>
      <c r="B354" s="159" t="s">
        <v>283</v>
      </c>
      <c r="C354" s="155" t="s">
        <v>283</v>
      </c>
      <c r="D354" s="156" t="s">
        <v>283</v>
      </c>
      <c r="E354" s="156" t="s">
        <v>283</v>
      </c>
      <c r="F354" s="156" t="s">
        <v>283</v>
      </c>
      <c r="G354" s="156" t="s">
        <v>283</v>
      </c>
      <c r="H354" s="158" t="s">
        <v>283</v>
      </c>
    </row>
    <row r="355" spans="1:8" ht="16.5">
      <c r="A355" s="135"/>
      <c r="B355" s="159" t="s">
        <v>283</v>
      </c>
      <c r="C355" s="155" t="s">
        <v>283</v>
      </c>
      <c r="D355" s="156" t="s">
        <v>283</v>
      </c>
      <c r="E355" s="156" t="s">
        <v>283</v>
      </c>
      <c r="F355" s="156" t="s">
        <v>283</v>
      </c>
      <c r="G355" s="156" t="s">
        <v>283</v>
      </c>
      <c r="H355" s="158" t="s">
        <v>283</v>
      </c>
    </row>
    <row r="356" spans="1:8" ht="16.5">
      <c r="A356" s="135"/>
      <c r="B356" s="159" t="s">
        <v>283</v>
      </c>
      <c r="C356" s="155" t="s">
        <v>283</v>
      </c>
      <c r="D356" s="156" t="s">
        <v>283</v>
      </c>
      <c r="E356" s="156" t="s">
        <v>283</v>
      </c>
      <c r="F356" s="156" t="s">
        <v>283</v>
      </c>
      <c r="G356" s="156" t="s">
        <v>283</v>
      </c>
      <c r="H356" s="158" t="s">
        <v>283</v>
      </c>
    </row>
    <row r="357" spans="1:8" ht="16.5">
      <c r="A357" s="135"/>
      <c r="B357" s="159" t="s">
        <v>283</v>
      </c>
      <c r="C357" s="155" t="s">
        <v>283</v>
      </c>
      <c r="D357" s="156" t="s">
        <v>283</v>
      </c>
      <c r="E357" s="156" t="s">
        <v>283</v>
      </c>
      <c r="F357" s="156" t="s">
        <v>283</v>
      </c>
      <c r="G357" s="156" t="s">
        <v>283</v>
      </c>
      <c r="H357" s="158" t="s">
        <v>283</v>
      </c>
    </row>
    <row r="358" spans="1:8" ht="16.5">
      <c r="A358" s="135"/>
      <c r="B358" s="159" t="s">
        <v>283</v>
      </c>
      <c r="C358" s="155" t="s">
        <v>283</v>
      </c>
      <c r="D358" s="156" t="s">
        <v>283</v>
      </c>
      <c r="E358" s="156" t="s">
        <v>283</v>
      </c>
      <c r="F358" s="156" t="s">
        <v>283</v>
      </c>
      <c r="G358" s="156" t="s">
        <v>283</v>
      </c>
      <c r="H358" s="158" t="s">
        <v>283</v>
      </c>
    </row>
    <row r="359" spans="1:8" ht="16.5">
      <c r="A359" s="135"/>
      <c r="B359" s="159" t="s">
        <v>283</v>
      </c>
      <c r="C359" s="155" t="s">
        <v>283</v>
      </c>
      <c r="D359" s="156" t="s">
        <v>283</v>
      </c>
      <c r="E359" s="156" t="s">
        <v>283</v>
      </c>
      <c r="F359" s="156" t="s">
        <v>283</v>
      </c>
      <c r="G359" s="156" t="s">
        <v>283</v>
      </c>
      <c r="H359" s="158" t="s">
        <v>283</v>
      </c>
    </row>
    <row r="360" spans="1:8" ht="16.5">
      <c r="A360" s="135"/>
      <c r="B360" s="159" t="s">
        <v>283</v>
      </c>
      <c r="C360" s="155" t="s">
        <v>283</v>
      </c>
      <c r="D360" s="156" t="s">
        <v>283</v>
      </c>
      <c r="E360" s="156" t="s">
        <v>283</v>
      </c>
      <c r="F360" s="156" t="s">
        <v>283</v>
      </c>
      <c r="G360" s="156" t="s">
        <v>283</v>
      </c>
      <c r="H360" s="158" t="s">
        <v>283</v>
      </c>
    </row>
    <row r="361" spans="1:8" ht="16.5">
      <c r="A361" s="135"/>
      <c r="B361" s="159" t="s">
        <v>283</v>
      </c>
      <c r="C361" s="155" t="s">
        <v>283</v>
      </c>
      <c r="D361" s="156" t="s">
        <v>283</v>
      </c>
      <c r="E361" s="156" t="s">
        <v>283</v>
      </c>
      <c r="F361" s="156" t="s">
        <v>283</v>
      </c>
      <c r="G361" s="156" t="s">
        <v>283</v>
      </c>
      <c r="H361" s="158" t="s">
        <v>283</v>
      </c>
    </row>
    <row r="362" spans="1:8" ht="16.5">
      <c r="A362" s="135"/>
      <c r="B362" s="159" t="s">
        <v>283</v>
      </c>
      <c r="C362" s="155" t="s">
        <v>283</v>
      </c>
      <c r="D362" s="156" t="s">
        <v>283</v>
      </c>
      <c r="E362" s="156" t="s">
        <v>283</v>
      </c>
      <c r="F362" s="156" t="s">
        <v>283</v>
      </c>
      <c r="G362" s="156" t="s">
        <v>283</v>
      </c>
      <c r="H362" s="158" t="s">
        <v>283</v>
      </c>
    </row>
    <row r="363" spans="1:8" ht="16.5">
      <c r="A363" s="135"/>
      <c r="B363" s="159" t="s">
        <v>283</v>
      </c>
      <c r="C363" s="155" t="s">
        <v>283</v>
      </c>
      <c r="D363" s="156" t="s">
        <v>283</v>
      </c>
      <c r="E363" s="156" t="s">
        <v>283</v>
      </c>
      <c r="F363" s="156" t="s">
        <v>283</v>
      </c>
      <c r="G363" s="156" t="s">
        <v>283</v>
      </c>
      <c r="H363" s="158" t="s">
        <v>283</v>
      </c>
    </row>
    <row r="364" spans="1:8" ht="16.5">
      <c r="A364" s="135"/>
      <c r="B364" s="159" t="s">
        <v>283</v>
      </c>
      <c r="C364" s="155" t="s">
        <v>283</v>
      </c>
      <c r="D364" s="156" t="s">
        <v>283</v>
      </c>
      <c r="E364" s="156" t="s">
        <v>283</v>
      </c>
      <c r="F364" s="156" t="s">
        <v>283</v>
      </c>
      <c r="G364" s="156" t="s">
        <v>283</v>
      </c>
      <c r="H364" s="158" t="s">
        <v>283</v>
      </c>
    </row>
    <row r="365" spans="1:8" ht="16.5">
      <c r="A365" s="135"/>
      <c r="B365" s="159" t="s">
        <v>283</v>
      </c>
      <c r="C365" s="155" t="s">
        <v>283</v>
      </c>
      <c r="D365" s="156" t="s">
        <v>283</v>
      </c>
      <c r="E365" s="156" t="s">
        <v>283</v>
      </c>
      <c r="F365" s="156" t="s">
        <v>283</v>
      </c>
      <c r="G365" s="156" t="s">
        <v>283</v>
      </c>
      <c r="H365" s="158" t="s">
        <v>283</v>
      </c>
    </row>
    <row r="366" spans="1:8" ht="16.5">
      <c r="A366" s="135"/>
      <c r="B366" s="159" t="s">
        <v>283</v>
      </c>
      <c r="C366" s="155" t="s">
        <v>283</v>
      </c>
      <c r="D366" s="156" t="s">
        <v>283</v>
      </c>
      <c r="E366" s="156" t="s">
        <v>283</v>
      </c>
      <c r="F366" s="156" t="s">
        <v>283</v>
      </c>
      <c r="G366" s="156" t="s">
        <v>283</v>
      </c>
      <c r="H366" s="158" t="s">
        <v>283</v>
      </c>
    </row>
    <row r="367" spans="1:8" ht="16.5">
      <c r="A367" s="135"/>
      <c r="B367" s="159" t="s">
        <v>283</v>
      </c>
      <c r="C367" s="155" t="s">
        <v>283</v>
      </c>
      <c r="D367" s="156" t="s">
        <v>283</v>
      </c>
      <c r="E367" s="156" t="s">
        <v>283</v>
      </c>
      <c r="F367" s="156" t="s">
        <v>283</v>
      </c>
      <c r="G367" s="156" t="s">
        <v>283</v>
      </c>
      <c r="H367" s="158" t="s">
        <v>283</v>
      </c>
    </row>
    <row r="368" spans="1:8" ht="16.5">
      <c r="A368" s="135"/>
      <c r="B368" s="159" t="s">
        <v>283</v>
      </c>
      <c r="C368" s="155" t="s">
        <v>283</v>
      </c>
      <c r="D368" s="156" t="s">
        <v>283</v>
      </c>
      <c r="E368" s="156" t="s">
        <v>283</v>
      </c>
      <c r="F368" s="156" t="s">
        <v>283</v>
      </c>
      <c r="G368" s="156" t="s">
        <v>283</v>
      </c>
      <c r="H368" s="158" t="s">
        <v>283</v>
      </c>
    </row>
    <row r="369" spans="1:8" ht="16.5">
      <c r="A369" s="135"/>
      <c r="B369" s="159" t="s">
        <v>283</v>
      </c>
      <c r="C369" s="155" t="s">
        <v>283</v>
      </c>
      <c r="D369" s="156" t="s">
        <v>283</v>
      </c>
      <c r="E369" s="156" t="s">
        <v>283</v>
      </c>
      <c r="F369" s="156" t="s">
        <v>283</v>
      </c>
      <c r="G369" s="156" t="s">
        <v>283</v>
      </c>
      <c r="H369" s="158" t="s">
        <v>283</v>
      </c>
    </row>
    <row r="370" spans="1:8" ht="16.5">
      <c r="A370" s="135"/>
      <c r="B370" s="159" t="s">
        <v>283</v>
      </c>
      <c r="C370" s="155" t="s">
        <v>283</v>
      </c>
      <c r="D370" s="156" t="s">
        <v>283</v>
      </c>
      <c r="E370" s="156" t="s">
        <v>283</v>
      </c>
      <c r="F370" s="156" t="s">
        <v>283</v>
      </c>
      <c r="G370" s="156" t="s">
        <v>283</v>
      </c>
      <c r="H370" s="158" t="s">
        <v>283</v>
      </c>
    </row>
    <row r="371" spans="1:8" ht="16.5">
      <c r="A371" s="135"/>
      <c r="B371" s="159" t="s">
        <v>283</v>
      </c>
      <c r="C371" s="155" t="s">
        <v>283</v>
      </c>
      <c r="D371" s="156" t="s">
        <v>283</v>
      </c>
      <c r="E371" s="156" t="s">
        <v>283</v>
      </c>
      <c r="F371" s="156" t="s">
        <v>283</v>
      </c>
      <c r="G371" s="156" t="s">
        <v>283</v>
      </c>
      <c r="H371" s="158" t="s">
        <v>283</v>
      </c>
    </row>
    <row r="372" spans="1:8" ht="16.5">
      <c r="A372" s="135"/>
      <c r="B372" s="159" t="s">
        <v>283</v>
      </c>
      <c r="C372" s="155" t="s">
        <v>283</v>
      </c>
      <c r="D372" s="156" t="s">
        <v>283</v>
      </c>
      <c r="E372" s="156" t="s">
        <v>283</v>
      </c>
      <c r="F372" s="156" t="s">
        <v>283</v>
      </c>
      <c r="G372" s="156" t="s">
        <v>283</v>
      </c>
      <c r="H372" s="158" t="s">
        <v>283</v>
      </c>
    </row>
    <row r="373" spans="1:8" ht="16.5">
      <c r="A373" s="135"/>
      <c r="B373" s="159" t="s">
        <v>283</v>
      </c>
      <c r="C373" s="155" t="s">
        <v>283</v>
      </c>
      <c r="D373" s="156" t="s">
        <v>283</v>
      </c>
      <c r="E373" s="156" t="s">
        <v>283</v>
      </c>
      <c r="F373" s="156" t="s">
        <v>283</v>
      </c>
      <c r="G373" s="156" t="s">
        <v>283</v>
      </c>
      <c r="H373" s="158" t="s">
        <v>283</v>
      </c>
    </row>
    <row r="374" spans="1:8" ht="16.5">
      <c r="A374" s="135"/>
      <c r="B374" s="159" t="s">
        <v>283</v>
      </c>
      <c r="C374" s="155" t="s">
        <v>283</v>
      </c>
      <c r="D374" s="156" t="s">
        <v>283</v>
      </c>
      <c r="E374" s="156" t="s">
        <v>283</v>
      </c>
      <c r="F374" s="156" t="s">
        <v>283</v>
      </c>
      <c r="G374" s="156" t="s">
        <v>283</v>
      </c>
      <c r="H374" s="158" t="s">
        <v>283</v>
      </c>
    </row>
    <row r="375" spans="1:8" ht="16.5">
      <c r="A375" s="135"/>
      <c r="B375" s="160" t="s">
        <v>283</v>
      </c>
      <c r="C375" s="161" t="s">
        <v>283</v>
      </c>
      <c r="D375" s="162" t="s">
        <v>283</v>
      </c>
      <c r="E375" s="162" t="s">
        <v>283</v>
      </c>
      <c r="F375" s="162" t="s">
        <v>283</v>
      </c>
      <c r="G375" s="162" t="s">
        <v>283</v>
      </c>
      <c r="H375" s="163" t="s">
        <v>283</v>
      </c>
    </row>
    <row r="376" spans="1:8" ht="16.5">
      <c r="A376" s="135"/>
      <c r="B376" s="138"/>
      <c r="C376" s="164"/>
      <c r="D376" s="165"/>
      <c r="E376" s="165"/>
      <c r="F376" s="165"/>
      <c r="G376" s="165"/>
      <c r="H376" s="165"/>
    </row>
    <row r="377" spans="1:8" ht="16.5">
      <c r="A377" s="135"/>
      <c r="B377" s="138"/>
      <c r="C377" s="164"/>
      <c r="D377" s="165"/>
      <c r="E377" s="165"/>
      <c r="F377" s="165"/>
      <c r="G377" s="165"/>
      <c r="H377" s="165"/>
    </row>
    <row r="378" spans="1:8" ht="16.5">
      <c r="A378" s="135"/>
      <c r="B378" s="138"/>
      <c r="C378" s="164"/>
      <c r="D378" s="165"/>
      <c r="E378" s="165"/>
      <c r="F378" s="165"/>
      <c r="G378" s="165"/>
      <c r="H378" s="165"/>
    </row>
    <row r="379" spans="1:8" ht="16.5">
      <c r="A379" s="135"/>
      <c r="B379" s="138"/>
      <c r="C379" s="164"/>
      <c r="D379" s="165"/>
      <c r="E379" s="165"/>
      <c r="F379" s="165"/>
      <c r="G379" s="165"/>
      <c r="H379" s="165"/>
    </row>
    <row r="380" spans="1:8" ht="16.5">
      <c r="A380" s="135"/>
      <c r="B380" s="138"/>
      <c r="C380" s="164"/>
      <c r="D380" s="165"/>
      <c r="E380" s="165"/>
      <c r="F380" s="165"/>
      <c r="G380" s="165"/>
      <c r="H380" s="165"/>
    </row>
    <row r="381" spans="1:8" ht="16.5">
      <c r="A381" s="135"/>
      <c r="B381" s="138"/>
      <c r="C381" s="164"/>
      <c r="D381" s="165"/>
      <c r="E381" s="165"/>
      <c r="F381" s="165"/>
      <c r="G381" s="165"/>
      <c r="H381" s="165"/>
    </row>
    <row r="382" spans="1:8" ht="16.5">
      <c r="A382" s="135"/>
      <c r="B382" s="138"/>
      <c r="C382" s="164"/>
      <c r="D382" s="165"/>
      <c r="E382" s="165"/>
      <c r="F382" s="165"/>
      <c r="G382" s="165"/>
      <c r="H382" s="165"/>
    </row>
    <row r="383" spans="1:8" ht="16.5">
      <c r="A383" s="135"/>
      <c r="B383" s="138"/>
      <c r="C383" s="164"/>
      <c r="D383" s="165"/>
      <c r="E383" s="165"/>
      <c r="F383" s="165"/>
      <c r="G383" s="165"/>
      <c r="H383" s="165"/>
    </row>
    <row r="384" spans="1:8" ht="16.5">
      <c r="A384" s="135"/>
      <c r="B384" s="138"/>
      <c r="C384" s="164"/>
      <c r="D384" s="165"/>
      <c r="E384" s="165"/>
      <c r="F384" s="165"/>
      <c r="G384" s="165"/>
      <c r="H384" s="165"/>
    </row>
    <row r="385" spans="1:8" ht="16.5">
      <c r="A385" s="135"/>
      <c r="B385" s="138"/>
      <c r="C385" s="164"/>
      <c r="D385" s="165"/>
      <c r="E385" s="165"/>
      <c r="F385" s="165"/>
      <c r="G385" s="165"/>
      <c r="H385" s="165"/>
    </row>
    <row r="386" spans="1:8" ht="16.5">
      <c r="A386" s="135"/>
      <c r="B386" s="138"/>
      <c r="C386" s="164"/>
      <c r="D386" s="165"/>
      <c r="E386" s="165"/>
      <c r="F386" s="165"/>
      <c r="G386" s="165"/>
      <c r="H386" s="165"/>
    </row>
    <row r="387" spans="1:8" ht="16.5">
      <c r="A387" s="135"/>
      <c r="B387" s="138"/>
      <c r="C387" s="164"/>
      <c r="D387" s="165"/>
      <c r="E387" s="165"/>
      <c r="F387" s="165"/>
      <c r="G387" s="165"/>
      <c r="H387" s="165"/>
    </row>
    <row r="388" spans="1:8" ht="16.5">
      <c r="A388" s="135"/>
      <c r="B388" s="138"/>
      <c r="C388" s="164"/>
      <c r="D388" s="165"/>
      <c r="E388" s="165"/>
      <c r="F388" s="165"/>
      <c r="G388" s="165"/>
      <c r="H388" s="165"/>
    </row>
    <row r="389" spans="1:8" ht="16.5">
      <c r="A389" s="135"/>
      <c r="B389" s="138"/>
      <c r="C389" s="164"/>
      <c r="D389" s="165"/>
      <c r="E389" s="165"/>
      <c r="F389" s="165"/>
      <c r="G389" s="165"/>
      <c r="H389" s="165"/>
    </row>
    <row r="390" spans="1:8" ht="16.5">
      <c r="A390" s="135"/>
      <c r="B390" s="138"/>
      <c r="C390" s="164"/>
      <c r="D390" s="165"/>
      <c r="E390" s="165"/>
      <c r="F390" s="165"/>
      <c r="G390" s="165"/>
      <c r="H390" s="165"/>
    </row>
    <row r="391" spans="1:8" ht="16.5">
      <c r="A391" s="135"/>
      <c r="B391" s="138"/>
      <c r="C391" s="164"/>
      <c r="D391" s="165"/>
      <c r="E391" s="165"/>
      <c r="F391" s="165"/>
      <c r="G391" s="165"/>
      <c r="H391" s="165"/>
    </row>
    <row r="392" spans="1:8" ht="16.5">
      <c r="A392" s="135"/>
      <c r="B392" s="138"/>
      <c r="C392" s="164"/>
      <c r="D392" s="165"/>
      <c r="E392" s="165"/>
      <c r="F392" s="165"/>
      <c r="G392" s="165"/>
      <c r="H392" s="165"/>
    </row>
    <row r="393" spans="1:8" ht="16.5">
      <c r="A393" s="135"/>
      <c r="B393" s="138"/>
      <c r="C393" s="164"/>
      <c r="D393" s="165"/>
      <c r="E393" s="165"/>
      <c r="F393" s="165"/>
      <c r="G393" s="165"/>
      <c r="H393" s="165"/>
    </row>
    <row r="394" spans="1:8" ht="16.5">
      <c r="A394" s="135"/>
      <c r="B394" s="138"/>
      <c r="C394" s="164"/>
      <c r="D394" s="165"/>
      <c r="E394" s="165"/>
      <c r="F394" s="165"/>
      <c r="G394" s="165"/>
      <c r="H394" s="165"/>
    </row>
    <row r="395" spans="1:8" ht="16.5">
      <c r="A395" s="135"/>
      <c r="B395" s="138"/>
      <c r="C395" s="164"/>
      <c r="D395" s="165"/>
      <c r="E395" s="165"/>
      <c r="F395" s="165"/>
      <c r="G395" s="165"/>
      <c r="H395" s="165"/>
    </row>
    <row r="396" spans="1:8" ht="16.5">
      <c r="A396" s="135"/>
      <c r="B396" s="138"/>
      <c r="C396" s="164"/>
      <c r="D396" s="165"/>
      <c r="E396" s="165"/>
      <c r="F396" s="165"/>
      <c r="G396" s="165"/>
      <c r="H396" s="165"/>
    </row>
    <row r="397" spans="1:8" ht="16.5">
      <c r="A397" s="135"/>
      <c r="B397" s="138"/>
      <c r="C397" s="164"/>
      <c r="D397" s="165"/>
      <c r="E397" s="165"/>
      <c r="F397" s="165"/>
      <c r="G397" s="165"/>
      <c r="H397" s="165"/>
    </row>
    <row r="398" spans="1:8" ht="16.5">
      <c r="A398" s="135"/>
      <c r="B398" s="138"/>
      <c r="C398" s="164"/>
      <c r="D398" s="165"/>
      <c r="E398" s="165"/>
      <c r="F398" s="165"/>
      <c r="G398" s="165"/>
      <c r="H398" s="165"/>
    </row>
    <row r="399" spans="1:8" ht="16.5">
      <c r="A399" s="135"/>
      <c r="B399" s="138"/>
      <c r="C399" s="164"/>
      <c r="D399" s="165"/>
      <c r="E399" s="165"/>
      <c r="F399" s="165"/>
      <c r="G399" s="165"/>
      <c r="H399" s="165"/>
    </row>
    <row r="400" spans="1:8" ht="16.5">
      <c r="A400" s="135"/>
      <c r="B400" s="138"/>
      <c r="C400" s="164"/>
      <c r="D400" s="165"/>
      <c r="E400" s="165"/>
      <c r="F400" s="165"/>
      <c r="G400" s="165"/>
      <c r="H400" s="165"/>
    </row>
    <row r="401" spans="1:8" ht="16.5">
      <c r="A401" s="135"/>
      <c r="B401" s="138"/>
      <c r="C401" s="164"/>
      <c r="D401" s="165"/>
      <c r="E401" s="165"/>
      <c r="F401" s="165"/>
      <c r="G401" s="165"/>
      <c r="H401" s="165"/>
    </row>
    <row r="402" spans="1:8" ht="16.5">
      <c r="A402" s="135"/>
      <c r="B402" s="138"/>
      <c r="C402" s="164"/>
      <c r="D402" s="165"/>
      <c r="E402" s="165"/>
      <c r="F402" s="165"/>
      <c r="G402" s="165"/>
      <c r="H402" s="165"/>
    </row>
    <row r="403" spans="1:8" ht="16.5">
      <c r="A403" s="135"/>
      <c r="B403" s="138"/>
      <c r="C403" s="164"/>
      <c r="D403" s="165"/>
      <c r="E403" s="165"/>
      <c r="F403" s="165"/>
      <c r="G403" s="165"/>
      <c r="H403" s="165"/>
    </row>
    <row r="404" spans="1:8" ht="16.5">
      <c r="A404" s="135"/>
      <c r="B404" s="138"/>
      <c r="C404" s="164"/>
      <c r="D404" s="165"/>
      <c r="E404" s="165"/>
      <c r="F404" s="165"/>
      <c r="G404" s="165"/>
      <c r="H404" s="165"/>
    </row>
    <row r="405" spans="1:8" ht="16.5">
      <c r="A405" s="135"/>
      <c r="B405" s="138"/>
      <c r="C405" s="164"/>
      <c r="D405" s="165"/>
      <c r="E405" s="165"/>
      <c r="F405" s="165"/>
      <c r="G405" s="165"/>
      <c r="H405" s="165"/>
    </row>
    <row r="406" spans="1:8" ht="16.5">
      <c r="A406" s="135"/>
      <c r="B406" s="138"/>
      <c r="C406" s="164"/>
      <c r="D406" s="165"/>
      <c r="E406" s="165"/>
      <c r="F406" s="165"/>
      <c r="G406" s="165"/>
      <c r="H406" s="165"/>
    </row>
    <row r="407" spans="1:8" ht="16.5">
      <c r="A407" s="135"/>
      <c r="B407" s="138"/>
      <c r="C407" s="164"/>
      <c r="D407" s="165"/>
      <c r="E407" s="165"/>
      <c r="F407" s="165"/>
      <c r="G407" s="165"/>
      <c r="H407" s="165"/>
    </row>
    <row r="408" spans="1:8" ht="16.5">
      <c r="A408" s="135"/>
      <c r="B408" s="138"/>
      <c r="C408" s="164"/>
      <c r="D408" s="165"/>
      <c r="E408" s="165"/>
      <c r="F408" s="165"/>
      <c r="G408" s="165"/>
      <c r="H408" s="165"/>
    </row>
    <row r="409" spans="1:8" ht="16.5">
      <c r="A409" s="135"/>
      <c r="B409" s="138"/>
      <c r="C409" s="164"/>
      <c r="D409" s="165"/>
      <c r="E409" s="165"/>
      <c r="F409" s="165"/>
      <c r="G409" s="165"/>
      <c r="H409" s="165"/>
    </row>
    <row r="410" spans="1:8" ht="16.5">
      <c r="A410" s="135"/>
      <c r="B410" s="138"/>
      <c r="C410" s="164"/>
      <c r="D410" s="165"/>
      <c r="E410" s="165"/>
      <c r="F410" s="165"/>
      <c r="G410" s="165"/>
      <c r="H410" s="165"/>
    </row>
    <row r="411" spans="1:8" ht="16.5">
      <c r="A411" s="135"/>
      <c r="B411" s="138"/>
      <c r="C411" s="164"/>
      <c r="D411" s="165"/>
      <c r="E411" s="165"/>
      <c r="F411" s="165"/>
      <c r="G411" s="165"/>
      <c r="H411" s="165"/>
    </row>
    <row r="412" spans="1:8" ht="16.5">
      <c r="A412" s="135"/>
      <c r="B412" s="138"/>
      <c r="C412" s="164"/>
      <c r="D412" s="165"/>
      <c r="E412" s="165"/>
      <c r="F412" s="165"/>
      <c r="G412" s="165"/>
      <c r="H412" s="165"/>
    </row>
    <row r="413" spans="1:8" ht="16.5">
      <c r="A413" s="135"/>
      <c r="B413" s="138"/>
      <c r="C413" s="164"/>
      <c r="D413" s="165"/>
      <c r="E413" s="165"/>
      <c r="F413" s="165"/>
      <c r="G413" s="165"/>
      <c r="H413" s="165"/>
    </row>
    <row r="414" spans="1:8" ht="16.5">
      <c r="A414" s="135"/>
      <c r="B414" s="138"/>
      <c r="C414" s="164"/>
      <c r="D414" s="165"/>
      <c r="E414" s="165"/>
      <c r="F414" s="165"/>
      <c r="G414" s="165"/>
      <c r="H414" s="165"/>
    </row>
    <row r="415" spans="1:8" ht="16.5">
      <c r="A415" s="135"/>
      <c r="B415" s="138"/>
      <c r="C415" s="164"/>
      <c r="D415" s="165"/>
      <c r="E415" s="165"/>
      <c r="F415" s="165"/>
      <c r="G415" s="165"/>
      <c r="H415" s="165"/>
    </row>
    <row r="416" spans="1:8" ht="16.5">
      <c r="A416" s="135"/>
      <c r="B416" s="138"/>
      <c r="C416" s="164"/>
      <c r="D416" s="165"/>
      <c r="E416" s="165"/>
      <c r="F416" s="165"/>
      <c r="G416" s="165"/>
      <c r="H416" s="165"/>
    </row>
    <row r="417" spans="1:8" ht="16.5">
      <c r="A417" s="135"/>
      <c r="B417" s="138"/>
      <c r="C417" s="164"/>
      <c r="D417" s="165"/>
      <c r="E417" s="165"/>
      <c r="F417" s="165"/>
      <c r="G417" s="165"/>
      <c r="H417" s="165"/>
    </row>
    <row r="418" spans="1:8" ht="16.5">
      <c r="A418" s="135"/>
      <c r="B418" s="138"/>
      <c r="C418" s="164"/>
      <c r="D418" s="165"/>
      <c r="E418" s="165"/>
      <c r="F418" s="165"/>
      <c r="G418" s="165"/>
      <c r="H418" s="165"/>
    </row>
    <row r="419" spans="1:8" ht="16.5">
      <c r="A419" s="135"/>
      <c r="B419" s="138"/>
      <c r="C419" s="164"/>
      <c r="D419" s="165"/>
      <c r="E419" s="165"/>
      <c r="F419" s="165"/>
      <c r="G419" s="165"/>
      <c r="H419" s="165"/>
    </row>
    <row r="420" spans="1:8" ht="16.5">
      <c r="A420" s="135"/>
      <c r="B420" s="138"/>
      <c r="C420" s="164"/>
      <c r="D420" s="165"/>
      <c r="E420" s="165"/>
      <c r="F420" s="165"/>
      <c r="G420" s="165"/>
      <c r="H420" s="165"/>
    </row>
    <row r="421" spans="1:8" ht="16.5">
      <c r="A421" s="135"/>
      <c r="B421" s="138"/>
      <c r="C421" s="164"/>
      <c r="D421" s="165"/>
      <c r="E421" s="165"/>
      <c r="F421" s="165"/>
      <c r="G421" s="165"/>
      <c r="H421" s="165"/>
    </row>
    <row r="422" spans="1:8" ht="16.5">
      <c r="A422" s="135"/>
      <c r="B422" s="138"/>
      <c r="C422" s="164"/>
      <c r="D422" s="165"/>
      <c r="E422" s="165"/>
      <c r="F422" s="165"/>
      <c r="G422" s="165"/>
      <c r="H422" s="165"/>
    </row>
    <row r="423" spans="1:8" ht="16.5">
      <c r="A423" s="135"/>
      <c r="B423" s="138"/>
      <c r="C423" s="164"/>
      <c r="D423" s="165"/>
      <c r="E423" s="165"/>
      <c r="F423" s="165"/>
      <c r="G423" s="165"/>
      <c r="H423" s="165"/>
    </row>
    <row r="424" spans="1:8" ht="16.5">
      <c r="A424" s="135"/>
      <c r="B424" s="138"/>
      <c r="C424" s="164"/>
      <c r="D424" s="165"/>
      <c r="E424" s="165"/>
      <c r="F424" s="165"/>
      <c r="G424" s="165"/>
      <c r="H424" s="165"/>
    </row>
    <row r="425" spans="1:8" ht="16.5">
      <c r="A425" s="135"/>
      <c r="B425" s="138"/>
      <c r="C425" s="164"/>
      <c r="D425" s="165"/>
      <c r="E425" s="165"/>
      <c r="F425" s="165"/>
      <c r="G425" s="165"/>
      <c r="H425" s="165"/>
    </row>
    <row r="426" spans="1:8" ht="16.5">
      <c r="A426" s="135"/>
      <c r="B426" s="138"/>
      <c r="C426" s="164"/>
      <c r="D426" s="165"/>
      <c r="E426" s="165"/>
      <c r="F426" s="165"/>
      <c r="G426" s="165"/>
      <c r="H426" s="165"/>
    </row>
    <row r="427" spans="1:8" ht="16.5">
      <c r="A427" s="135"/>
      <c r="B427" s="138"/>
      <c r="C427" s="164"/>
      <c r="D427" s="165"/>
      <c r="E427" s="165"/>
      <c r="F427" s="165"/>
      <c r="G427" s="165"/>
      <c r="H427" s="165"/>
    </row>
    <row r="428" spans="1:8" ht="16.5">
      <c r="A428" s="135"/>
      <c r="B428" s="138"/>
      <c r="C428" s="164"/>
      <c r="D428" s="165"/>
      <c r="E428" s="165"/>
      <c r="F428" s="165"/>
      <c r="G428" s="165"/>
      <c r="H428" s="165"/>
    </row>
    <row r="429" spans="1:8" ht="16.5">
      <c r="A429" s="135"/>
      <c r="B429" s="138"/>
      <c r="C429" s="164"/>
      <c r="D429" s="165"/>
      <c r="E429" s="165"/>
      <c r="F429" s="165"/>
      <c r="G429" s="165"/>
      <c r="H429" s="165"/>
    </row>
    <row r="430" spans="1:8" ht="16.5">
      <c r="A430" s="135"/>
      <c r="B430" s="138"/>
      <c r="C430" s="164"/>
      <c r="D430" s="165"/>
      <c r="E430" s="165"/>
      <c r="F430" s="165"/>
      <c r="G430" s="165"/>
      <c r="H430" s="165"/>
    </row>
    <row r="431" spans="1:8" ht="16.5">
      <c r="A431" s="135"/>
      <c r="B431" s="138"/>
      <c r="C431" s="164"/>
      <c r="D431" s="165"/>
      <c r="E431" s="165"/>
      <c r="F431" s="165"/>
      <c r="G431" s="165"/>
      <c r="H431" s="165"/>
    </row>
    <row r="432" spans="1:8" ht="16.5">
      <c r="A432" s="135"/>
      <c r="B432" s="138"/>
      <c r="C432" s="164"/>
      <c r="D432" s="165"/>
      <c r="E432" s="165"/>
      <c r="F432" s="165"/>
      <c r="G432" s="165"/>
      <c r="H432" s="165"/>
    </row>
    <row r="433" spans="1:8" ht="16.5">
      <c r="A433" s="135"/>
      <c r="B433" s="138"/>
      <c r="C433" s="164"/>
      <c r="D433" s="165"/>
      <c r="E433" s="165"/>
      <c r="F433" s="165"/>
      <c r="G433" s="165"/>
      <c r="H433" s="165"/>
    </row>
    <row r="434" spans="1:8" ht="16.5">
      <c r="A434" s="135"/>
      <c r="B434" s="138"/>
      <c r="C434" s="164"/>
      <c r="D434" s="165"/>
      <c r="E434" s="165"/>
      <c r="F434" s="165"/>
      <c r="G434" s="165"/>
      <c r="H434" s="165"/>
    </row>
    <row r="435" spans="1:8" ht="16.5">
      <c r="A435" s="135"/>
      <c r="B435" s="138"/>
      <c r="C435" s="164"/>
      <c r="D435" s="165"/>
      <c r="E435" s="165"/>
      <c r="F435" s="165"/>
      <c r="G435" s="165"/>
      <c r="H435" s="165"/>
    </row>
    <row r="436" spans="1:8" ht="16.5">
      <c r="A436" s="135"/>
      <c r="B436" s="138"/>
      <c r="C436" s="164"/>
      <c r="D436" s="165"/>
      <c r="E436" s="165"/>
      <c r="F436" s="165"/>
      <c r="G436" s="165"/>
      <c r="H436" s="165"/>
    </row>
    <row r="437" spans="1:8" ht="16.5">
      <c r="A437" s="135"/>
      <c r="B437" s="138"/>
      <c r="C437" s="164"/>
      <c r="D437" s="165"/>
      <c r="E437" s="165"/>
      <c r="F437" s="165"/>
      <c r="G437" s="165"/>
      <c r="H437" s="165"/>
    </row>
    <row r="438" spans="1:8" ht="16.5">
      <c r="A438" s="135"/>
      <c r="B438" s="138"/>
      <c r="C438" s="164"/>
      <c r="D438" s="165"/>
      <c r="E438" s="165"/>
      <c r="F438" s="165"/>
      <c r="G438" s="165"/>
      <c r="H438" s="165"/>
    </row>
    <row r="439" spans="1:8" ht="16.5">
      <c r="A439" s="135"/>
      <c r="B439" s="138"/>
      <c r="C439" s="164"/>
      <c r="D439" s="165"/>
      <c r="E439" s="165"/>
      <c r="F439" s="165"/>
      <c r="G439" s="165"/>
      <c r="H439" s="165"/>
    </row>
    <row r="440" spans="1:8" ht="16.5">
      <c r="A440" s="135"/>
      <c r="B440" s="138"/>
      <c r="C440" s="164"/>
      <c r="D440" s="165"/>
      <c r="E440" s="165"/>
      <c r="F440" s="165"/>
      <c r="G440" s="165"/>
      <c r="H440" s="165"/>
    </row>
    <row r="441" spans="1:8" ht="16.5">
      <c r="A441" s="135"/>
      <c r="B441" s="138"/>
      <c r="C441" s="164"/>
      <c r="D441" s="165"/>
      <c r="E441" s="165"/>
      <c r="F441" s="165"/>
      <c r="G441" s="165"/>
      <c r="H441" s="165"/>
    </row>
    <row r="442" spans="1:8" ht="16.5">
      <c r="A442" s="135"/>
      <c r="B442" s="138"/>
      <c r="C442" s="164"/>
      <c r="D442" s="165"/>
      <c r="E442" s="165"/>
      <c r="F442" s="165"/>
      <c r="G442" s="165"/>
      <c r="H442" s="165"/>
    </row>
    <row r="443" spans="1:8" ht="16.5">
      <c r="A443" s="135"/>
      <c r="B443" s="138"/>
      <c r="C443" s="164"/>
      <c r="D443" s="165"/>
      <c r="E443" s="165"/>
      <c r="F443" s="165"/>
      <c r="G443" s="165"/>
      <c r="H443" s="165"/>
    </row>
    <row r="444" spans="1:8" ht="16.5">
      <c r="A444" s="135"/>
      <c r="B444" s="138"/>
      <c r="C444" s="164"/>
      <c r="D444" s="165"/>
      <c r="E444" s="165"/>
      <c r="F444" s="165"/>
      <c r="G444" s="165"/>
      <c r="H444" s="165"/>
    </row>
    <row r="445" spans="1:8" ht="16.5">
      <c r="A445" s="135"/>
      <c r="B445" s="138"/>
      <c r="C445" s="164"/>
      <c r="D445" s="165"/>
      <c r="E445" s="165"/>
      <c r="F445" s="165"/>
      <c r="G445" s="165"/>
      <c r="H445" s="165"/>
    </row>
    <row r="446" spans="1:8" ht="16.5">
      <c r="A446" s="135"/>
      <c r="B446" s="138"/>
      <c r="C446" s="164"/>
      <c r="D446" s="165"/>
      <c r="E446" s="165"/>
      <c r="F446" s="165"/>
      <c r="G446" s="165"/>
      <c r="H446" s="165"/>
    </row>
    <row r="447" spans="1:8" ht="16.5">
      <c r="A447" s="135"/>
      <c r="B447" s="138"/>
      <c r="C447" s="164"/>
      <c r="D447" s="165"/>
      <c r="E447" s="165"/>
      <c r="F447" s="165"/>
      <c r="G447" s="165"/>
      <c r="H447" s="165"/>
    </row>
    <row r="448" spans="1:8" ht="16.5">
      <c r="A448" s="135"/>
      <c r="B448" s="138"/>
      <c r="C448" s="164"/>
      <c r="D448" s="165"/>
      <c r="E448" s="165"/>
      <c r="F448" s="165"/>
      <c r="G448" s="165"/>
      <c r="H448" s="165"/>
    </row>
    <row r="449" spans="1:8" ht="16.5">
      <c r="A449" s="135"/>
      <c r="B449" s="138"/>
      <c r="C449" s="164"/>
      <c r="D449" s="165"/>
      <c r="E449" s="165"/>
      <c r="F449" s="165"/>
      <c r="G449" s="165"/>
      <c r="H449" s="165"/>
    </row>
    <row r="450" spans="1:8" ht="16.5">
      <c r="A450" s="135"/>
      <c r="B450" s="138"/>
      <c r="C450" s="164"/>
      <c r="D450" s="165"/>
      <c r="E450" s="165"/>
      <c r="F450" s="165"/>
      <c r="G450" s="165"/>
      <c r="H450" s="165"/>
    </row>
    <row r="451" spans="1:8" ht="16.5">
      <c r="A451" s="135"/>
      <c r="B451" s="138"/>
      <c r="C451" s="164"/>
      <c r="D451" s="165"/>
      <c r="E451" s="165"/>
      <c r="F451" s="165"/>
      <c r="G451" s="165"/>
      <c r="H451" s="165"/>
    </row>
    <row r="452" spans="1:8" ht="16.5">
      <c r="A452" s="135"/>
      <c r="B452" s="138"/>
      <c r="C452" s="164"/>
      <c r="D452" s="165"/>
      <c r="E452" s="165"/>
      <c r="F452" s="165"/>
      <c r="G452" s="165"/>
      <c r="H452" s="165"/>
    </row>
    <row r="453" spans="1:8" ht="16.5">
      <c r="A453" s="135"/>
      <c r="B453" s="138"/>
      <c r="C453" s="164"/>
      <c r="D453" s="165"/>
      <c r="E453" s="165"/>
      <c r="F453" s="165"/>
      <c r="G453" s="165"/>
      <c r="H453" s="165"/>
    </row>
    <row r="454" spans="1:8" ht="16.5">
      <c r="A454" s="135"/>
      <c r="B454" s="138"/>
      <c r="C454" s="164"/>
      <c r="D454" s="165"/>
      <c r="E454" s="165"/>
      <c r="F454" s="165"/>
      <c r="G454" s="165"/>
      <c r="H454" s="165"/>
    </row>
    <row r="455" spans="1:8" ht="16.5">
      <c r="A455" s="135"/>
      <c r="B455" s="138"/>
      <c r="C455" s="164"/>
      <c r="D455" s="165"/>
      <c r="E455" s="165"/>
      <c r="F455" s="165"/>
      <c r="G455" s="165"/>
      <c r="H455" s="165"/>
    </row>
    <row r="456" spans="1:8" ht="16.5">
      <c r="A456" s="135"/>
      <c r="B456" s="138"/>
      <c r="C456" s="164"/>
      <c r="D456" s="165"/>
      <c r="E456" s="165"/>
      <c r="F456" s="165"/>
      <c r="G456" s="165"/>
      <c r="H456" s="165"/>
    </row>
    <row r="457" spans="1:8" ht="16.5">
      <c r="A457" s="135"/>
      <c r="B457" s="138"/>
      <c r="C457" s="164"/>
      <c r="D457" s="165"/>
      <c r="E457" s="165"/>
      <c r="F457" s="165"/>
      <c r="G457" s="165"/>
      <c r="H457" s="165"/>
    </row>
    <row r="458" spans="1:8" ht="16.5">
      <c r="A458" s="135"/>
      <c r="B458" s="138"/>
      <c r="C458" s="164"/>
      <c r="D458" s="165"/>
      <c r="E458" s="165"/>
      <c r="F458" s="165"/>
      <c r="G458" s="165"/>
      <c r="H458" s="165"/>
    </row>
    <row r="459" spans="1:8" ht="16.5">
      <c r="A459" s="135"/>
      <c r="B459" s="138"/>
      <c r="C459" s="164"/>
      <c r="D459" s="165"/>
      <c r="E459" s="165"/>
      <c r="F459" s="165"/>
      <c r="G459" s="165"/>
      <c r="H459" s="165"/>
    </row>
    <row r="460" spans="1:8" ht="16.5">
      <c r="A460" s="135"/>
      <c r="B460" s="138"/>
      <c r="C460" s="164"/>
      <c r="D460" s="165"/>
      <c r="E460" s="165"/>
      <c r="F460" s="165"/>
      <c r="G460" s="165"/>
      <c r="H460" s="165"/>
    </row>
    <row r="461" spans="1:8" ht="16.5">
      <c r="A461" s="135"/>
      <c r="B461" s="138"/>
      <c r="C461" s="164"/>
      <c r="D461" s="165"/>
      <c r="E461" s="165"/>
      <c r="F461" s="165"/>
      <c r="G461" s="165"/>
      <c r="H461" s="165"/>
    </row>
    <row r="462" spans="1:8">
      <c r="A462" s="166"/>
      <c r="B462" s="167"/>
      <c r="C462" s="168"/>
      <c r="D462" s="169"/>
      <c r="E462" s="169"/>
      <c r="F462" s="169"/>
      <c r="G462" s="169"/>
      <c r="H462" s="169"/>
    </row>
    <row r="463" spans="1:8">
      <c r="A463" s="166"/>
      <c r="B463" s="167"/>
      <c r="C463" s="168"/>
      <c r="D463" s="169"/>
      <c r="E463" s="169"/>
      <c r="F463" s="169"/>
      <c r="G463" s="169"/>
      <c r="H463" s="169"/>
    </row>
    <row r="464" spans="1:8">
      <c r="A464" s="166"/>
      <c r="B464" s="167"/>
      <c r="C464" s="168"/>
      <c r="D464" s="169"/>
      <c r="E464" s="169"/>
      <c r="F464" s="169"/>
      <c r="G464" s="169"/>
      <c r="H464" s="169"/>
    </row>
    <row r="465" spans="1:8">
      <c r="A465" s="166"/>
      <c r="B465" s="167"/>
      <c r="C465" s="168"/>
      <c r="D465" s="169"/>
      <c r="E465" s="169"/>
      <c r="F465" s="169"/>
      <c r="G465" s="169"/>
      <c r="H465" s="169"/>
    </row>
    <row r="466" spans="1:8">
      <c r="A466" s="166"/>
      <c r="B466" s="167"/>
      <c r="C466" s="168"/>
      <c r="D466" s="169"/>
      <c r="E466" s="169"/>
      <c r="F466" s="169"/>
      <c r="G466" s="169"/>
      <c r="H466" s="169"/>
    </row>
    <row r="467" spans="1:8">
      <c r="A467" s="166"/>
      <c r="B467" s="167"/>
      <c r="C467" s="168"/>
      <c r="D467" s="169"/>
      <c r="E467" s="169"/>
      <c r="F467" s="169"/>
      <c r="G467" s="169"/>
      <c r="H467" s="169"/>
    </row>
    <row r="468" spans="1:8">
      <c r="A468" s="166"/>
      <c r="B468" s="167"/>
      <c r="C468" s="168"/>
      <c r="D468" s="169"/>
      <c r="E468" s="169"/>
      <c r="F468" s="169"/>
      <c r="G468" s="169"/>
      <c r="H468" s="169"/>
    </row>
    <row r="469" spans="1:8">
      <c r="A469" s="166"/>
      <c r="B469" s="167"/>
      <c r="C469" s="168"/>
      <c r="D469" s="169"/>
      <c r="E469" s="169"/>
      <c r="F469" s="169"/>
      <c r="G469" s="169"/>
      <c r="H469" s="169"/>
    </row>
    <row r="470" spans="1:8">
      <c r="A470" s="166"/>
      <c r="B470" s="167"/>
      <c r="C470" s="168"/>
      <c r="D470" s="169"/>
      <c r="E470" s="169"/>
      <c r="F470" s="169"/>
      <c r="G470" s="169"/>
      <c r="H470" s="169"/>
    </row>
    <row r="471" spans="1:8">
      <c r="A471" s="166"/>
      <c r="B471" s="167"/>
      <c r="C471" s="168"/>
      <c r="D471" s="169"/>
      <c r="E471" s="169"/>
      <c r="F471" s="169"/>
      <c r="G471" s="169"/>
      <c r="H471" s="169"/>
    </row>
    <row r="472" spans="1:8">
      <c r="A472" s="166"/>
      <c r="B472" s="167"/>
      <c r="C472" s="168"/>
      <c r="D472" s="169"/>
      <c r="E472" s="169"/>
      <c r="F472" s="169"/>
      <c r="G472" s="169"/>
      <c r="H472" s="169"/>
    </row>
    <row r="473" spans="1:8">
      <c r="A473" s="166"/>
      <c r="B473" s="167"/>
      <c r="C473" s="168"/>
      <c r="D473" s="169"/>
      <c r="E473" s="169"/>
      <c r="F473" s="169"/>
      <c r="G473" s="169"/>
      <c r="H473" s="169"/>
    </row>
    <row r="474" spans="1:8">
      <c r="A474" s="166"/>
      <c r="B474" s="167"/>
      <c r="C474" s="168"/>
      <c r="D474" s="169"/>
      <c r="E474" s="169"/>
      <c r="F474" s="169"/>
      <c r="G474" s="169"/>
      <c r="H474" s="169"/>
    </row>
    <row r="475" spans="1:8">
      <c r="A475" s="166"/>
      <c r="B475" s="167"/>
      <c r="C475" s="168"/>
      <c r="D475" s="169"/>
      <c r="E475" s="169"/>
      <c r="F475" s="169"/>
      <c r="G475" s="169"/>
      <c r="H475" s="169"/>
    </row>
    <row r="476" spans="1:8">
      <c r="A476" s="166"/>
      <c r="B476" s="167"/>
      <c r="C476" s="168"/>
      <c r="D476" s="169"/>
      <c r="E476" s="169"/>
      <c r="F476" s="169"/>
      <c r="G476" s="169"/>
      <c r="H476" s="169"/>
    </row>
    <row r="477" spans="1:8">
      <c r="A477" s="166"/>
      <c r="B477" s="167"/>
      <c r="C477" s="168"/>
      <c r="D477" s="169"/>
      <c r="E477" s="169"/>
      <c r="F477" s="169"/>
      <c r="G477" s="169"/>
      <c r="H477" s="169"/>
    </row>
    <row r="478" spans="1:8">
      <c r="A478" s="166"/>
      <c r="B478" s="167"/>
      <c r="C478" s="168"/>
      <c r="D478" s="169"/>
      <c r="E478" s="169"/>
      <c r="F478" s="169"/>
      <c r="G478" s="169"/>
      <c r="H478" s="169"/>
    </row>
    <row r="479" spans="1:8">
      <c r="A479" s="166"/>
      <c r="B479" s="167"/>
      <c r="C479" s="168"/>
      <c r="D479" s="169"/>
      <c r="E479" s="169"/>
      <c r="F479" s="169"/>
      <c r="G479" s="169"/>
      <c r="H479" s="169"/>
    </row>
    <row r="480" spans="1:8">
      <c r="A480" s="166"/>
      <c r="B480" s="167"/>
      <c r="C480" s="168"/>
      <c r="D480" s="169"/>
      <c r="E480" s="169"/>
      <c r="F480" s="169"/>
      <c r="G480" s="169"/>
      <c r="H480" s="169"/>
    </row>
    <row r="481" spans="1:8">
      <c r="A481" s="166"/>
      <c r="B481" s="167"/>
      <c r="C481" s="168"/>
      <c r="D481" s="169"/>
      <c r="E481" s="169"/>
      <c r="F481" s="169"/>
      <c r="G481" s="169"/>
      <c r="H481" s="169"/>
    </row>
    <row r="482" spans="1:8">
      <c r="A482" s="166"/>
      <c r="B482" s="167"/>
      <c r="C482" s="168"/>
      <c r="D482" s="169"/>
      <c r="E482" s="169"/>
      <c r="F482" s="169"/>
      <c r="G482" s="169"/>
      <c r="H482" s="169"/>
    </row>
    <row r="483" spans="1:8">
      <c r="A483" s="166"/>
      <c r="B483" s="167"/>
      <c r="C483" s="168"/>
      <c r="D483" s="169"/>
      <c r="E483" s="169"/>
      <c r="F483" s="169"/>
      <c r="G483" s="169"/>
      <c r="H483" s="169"/>
    </row>
    <row r="484" spans="1:8">
      <c r="A484" s="166"/>
      <c r="B484" s="167"/>
      <c r="C484" s="168"/>
      <c r="D484" s="169"/>
      <c r="E484" s="169"/>
      <c r="F484" s="169"/>
      <c r="G484" s="169"/>
      <c r="H484" s="169"/>
    </row>
    <row r="485" spans="1:8">
      <c r="A485" s="166"/>
      <c r="B485" s="167"/>
      <c r="C485" s="168"/>
      <c r="D485" s="169"/>
      <c r="E485" s="169"/>
      <c r="F485" s="169"/>
      <c r="G485" s="169"/>
      <c r="H485" s="169"/>
    </row>
    <row r="486" spans="1:8">
      <c r="A486" s="166"/>
      <c r="B486" s="167"/>
      <c r="C486" s="168"/>
      <c r="D486" s="169"/>
      <c r="E486" s="169"/>
      <c r="F486" s="169"/>
      <c r="G486" s="169"/>
      <c r="H486" s="169"/>
    </row>
    <row r="487" spans="1:8">
      <c r="A487" s="166"/>
      <c r="B487" s="167"/>
      <c r="C487" s="168"/>
      <c r="D487" s="169"/>
      <c r="E487" s="169"/>
      <c r="F487" s="169"/>
      <c r="G487" s="169"/>
      <c r="H487" s="169"/>
    </row>
    <row r="488" spans="1:8">
      <c r="A488" s="166"/>
      <c r="B488" s="167"/>
      <c r="C488" s="168"/>
      <c r="D488" s="169"/>
      <c r="E488" s="169"/>
      <c r="F488" s="169"/>
      <c r="G488" s="169"/>
      <c r="H488" s="169"/>
    </row>
    <row r="489" spans="1:8">
      <c r="A489" s="166"/>
      <c r="B489" s="167"/>
      <c r="C489" s="168"/>
      <c r="D489" s="169"/>
      <c r="E489" s="169"/>
      <c r="F489" s="169"/>
      <c r="G489" s="169"/>
      <c r="H489" s="169"/>
    </row>
    <row r="490" spans="1:8">
      <c r="A490" s="166"/>
      <c r="B490" s="167"/>
      <c r="C490" s="168"/>
      <c r="D490" s="169"/>
      <c r="E490" s="169"/>
      <c r="F490" s="169"/>
      <c r="G490" s="169"/>
      <c r="H490" s="169"/>
    </row>
    <row r="491" spans="1:8">
      <c r="A491" s="166"/>
      <c r="B491" s="167"/>
      <c r="C491" s="168"/>
      <c r="D491" s="169"/>
      <c r="E491" s="169"/>
      <c r="F491" s="169"/>
      <c r="G491" s="169"/>
      <c r="H491" s="169"/>
    </row>
    <row r="492" spans="1:8">
      <c r="A492" s="166"/>
      <c r="B492" s="167"/>
      <c r="C492" s="168"/>
      <c r="D492" s="169"/>
      <c r="E492" s="169"/>
      <c r="F492" s="169"/>
      <c r="G492" s="169"/>
      <c r="H492" s="169"/>
    </row>
    <row r="493" spans="1:8">
      <c r="A493" s="166"/>
      <c r="B493" s="167"/>
      <c r="C493" s="168"/>
      <c r="D493" s="169"/>
      <c r="E493" s="169"/>
      <c r="F493" s="169"/>
      <c r="G493" s="169"/>
      <c r="H493" s="169"/>
    </row>
    <row r="494" spans="1:8">
      <c r="A494" s="166"/>
      <c r="B494" s="167"/>
      <c r="C494" s="168"/>
      <c r="D494" s="169"/>
      <c r="E494" s="169"/>
      <c r="F494" s="169"/>
      <c r="G494" s="169"/>
      <c r="H494" s="169"/>
    </row>
    <row r="495" spans="1:8">
      <c r="A495" s="166"/>
      <c r="B495" s="167"/>
      <c r="C495" s="168"/>
      <c r="D495" s="169"/>
      <c r="E495" s="169"/>
      <c r="F495" s="169"/>
      <c r="G495" s="169"/>
      <c r="H495" s="169"/>
    </row>
    <row r="496" spans="1:8">
      <c r="A496" s="166"/>
      <c r="B496" s="167"/>
      <c r="C496" s="168"/>
      <c r="D496" s="169"/>
      <c r="E496" s="169"/>
      <c r="F496" s="169"/>
      <c r="G496" s="169"/>
      <c r="H496" s="169"/>
    </row>
    <row r="497" spans="1:8">
      <c r="A497" s="166"/>
      <c r="B497" s="167"/>
      <c r="C497" s="168"/>
      <c r="D497" s="169"/>
      <c r="E497" s="169"/>
      <c r="F497" s="169"/>
      <c r="G497" s="169"/>
      <c r="H497" s="169"/>
    </row>
    <row r="498" spans="1:8">
      <c r="A498" s="166"/>
      <c r="B498" s="167"/>
      <c r="C498" s="168"/>
      <c r="D498" s="169"/>
      <c r="E498" s="169"/>
      <c r="F498" s="169"/>
      <c r="G498" s="169"/>
      <c r="H498" s="169"/>
    </row>
    <row r="499" spans="1:8">
      <c r="A499" s="166"/>
      <c r="B499" s="167"/>
      <c r="C499" s="168"/>
      <c r="D499" s="169"/>
      <c r="E499" s="169"/>
      <c r="F499" s="169"/>
      <c r="G499" s="169"/>
      <c r="H499" s="169"/>
    </row>
    <row r="500" spans="1:8">
      <c r="A500" s="166"/>
      <c r="B500" s="167"/>
      <c r="C500" s="168"/>
      <c r="D500" s="169"/>
      <c r="E500" s="169"/>
      <c r="F500" s="169"/>
      <c r="G500" s="169"/>
      <c r="H500" s="169"/>
    </row>
    <row r="501" spans="1:8">
      <c r="A501" s="166"/>
      <c r="B501" s="167"/>
      <c r="C501" s="168"/>
      <c r="D501" s="169"/>
      <c r="E501" s="169"/>
      <c r="F501" s="169"/>
      <c r="G501" s="169"/>
      <c r="H501" s="169"/>
    </row>
    <row r="502" spans="1:8">
      <c r="A502" s="166"/>
      <c r="B502" s="167"/>
      <c r="C502" s="168"/>
      <c r="D502" s="169"/>
      <c r="E502" s="169"/>
      <c r="F502" s="169"/>
      <c r="G502" s="169"/>
      <c r="H502" s="169"/>
    </row>
    <row r="503" spans="1:8">
      <c r="A503" s="166"/>
      <c r="B503" s="167"/>
      <c r="C503" s="168"/>
      <c r="D503" s="169"/>
      <c r="E503" s="169"/>
      <c r="F503" s="169"/>
      <c r="G503" s="169"/>
      <c r="H503" s="169"/>
    </row>
    <row r="504" spans="1:8">
      <c r="A504" s="166"/>
      <c r="B504" s="167"/>
      <c r="C504" s="168"/>
      <c r="D504" s="169"/>
      <c r="E504" s="169"/>
      <c r="F504" s="169"/>
      <c r="G504" s="169"/>
      <c r="H504" s="169"/>
    </row>
    <row r="505" spans="1:8">
      <c r="A505" s="166"/>
      <c r="B505" s="167"/>
      <c r="C505" s="168"/>
      <c r="D505" s="169"/>
      <c r="E505" s="169"/>
      <c r="F505" s="169"/>
      <c r="G505" s="169"/>
      <c r="H505" s="169"/>
    </row>
    <row r="506" spans="1:8">
      <c r="A506" s="166"/>
      <c r="B506" s="167"/>
      <c r="C506" s="168"/>
      <c r="D506" s="169"/>
      <c r="E506" s="169"/>
      <c r="F506" s="169"/>
      <c r="G506" s="169"/>
      <c r="H506" s="169"/>
    </row>
    <row r="507" spans="1:8">
      <c r="A507" s="166"/>
      <c r="B507" s="167"/>
      <c r="C507" s="168"/>
      <c r="D507" s="169"/>
      <c r="E507" s="169"/>
      <c r="F507" s="169"/>
      <c r="G507" s="169"/>
      <c r="H507" s="169"/>
    </row>
    <row r="508" spans="1:8">
      <c r="A508" s="166"/>
      <c r="B508" s="167"/>
      <c r="C508" s="168"/>
      <c r="D508" s="169"/>
      <c r="E508" s="169"/>
      <c r="F508" s="169"/>
      <c r="G508" s="169"/>
      <c r="H508" s="169"/>
    </row>
    <row r="509" spans="1:8">
      <c r="A509" s="170"/>
      <c r="B509" s="171"/>
      <c r="C509" s="172"/>
      <c r="D509" s="173"/>
      <c r="E509" s="173"/>
      <c r="F509" s="173"/>
      <c r="G509" s="173"/>
      <c r="H509" s="173"/>
    </row>
    <row r="510" spans="1:8">
      <c r="A510" s="170"/>
      <c r="B510" s="171"/>
      <c r="C510" s="172"/>
      <c r="D510" s="173"/>
      <c r="E510" s="173"/>
      <c r="F510" s="173"/>
      <c r="G510" s="173"/>
      <c r="H510" s="173"/>
    </row>
    <row r="511" spans="1:8">
      <c r="A511" s="170"/>
      <c r="B511" s="171"/>
      <c r="C511" s="172"/>
      <c r="D511" s="173"/>
      <c r="E511" s="173"/>
      <c r="F511" s="173"/>
      <c r="G511" s="173"/>
      <c r="H511" s="173"/>
    </row>
    <row r="512" spans="1:8">
      <c r="A512" s="170"/>
      <c r="B512" s="171"/>
      <c r="C512" s="172"/>
      <c r="D512" s="173"/>
      <c r="E512" s="173"/>
      <c r="F512" s="173"/>
      <c r="G512" s="173"/>
      <c r="H512" s="173"/>
    </row>
    <row r="513" spans="1:8">
      <c r="A513" s="170"/>
      <c r="B513" s="171"/>
      <c r="C513" s="172"/>
      <c r="D513" s="173"/>
      <c r="E513" s="173"/>
      <c r="F513" s="173"/>
      <c r="G513" s="173"/>
      <c r="H513" s="173"/>
    </row>
    <row r="514" spans="1:8">
      <c r="A514" s="170"/>
      <c r="B514" s="171"/>
      <c r="C514" s="172"/>
      <c r="D514" s="173"/>
      <c r="E514" s="173"/>
      <c r="F514" s="173"/>
      <c r="G514" s="173"/>
      <c r="H514" s="173"/>
    </row>
    <row r="515" spans="1:8">
      <c r="A515" s="170"/>
      <c r="B515" s="171"/>
      <c r="C515" s="172"/>
      <c r="D515" s="173"/>
      <c r="E515" s="173"/>
      <c r="F515" s="173"/>
      <c r="G515" s="173"/>
      <c r="H515" s="173"/>
    </row>
    <row r="516" spans="1:8">
      <c r="A516" s="170"/>
      <c r="B516" s="171"/>
      <c r="C516" s="172"/>
      <c r="D516" s="173"/>
      <c r="E516" s="173"/>
      <c r="F516" s="173"/>
      <c r="G516" s="173"/>
      <c r="H516" s="173"/>
    </row>
    <row r="517" spans="1:8">
      <c r="A517" s="170"/>
      <c r="B517" s="171"/>
      <c r="C517" s="172"/>
      <c r="D517" s="173"/>
      <c r="E517" s="173"/>
      <c r="F517" s="173"/>
      <c r="G517" s="173"/>
      <c r="H517" s="173"/>
    </row>
    <row r="518" spans="1:8">
      <c r="A518" s="170"/>
      <c r="B518" s="171"/>
      <c r="C518" s="172"/>
      <c r="D518" s="173"/>
      <c r="E518" s="173"/>
      <c r="F518" s="173"/>
      <c r="G518" s="173"/>
      <c r="H518" s="173"/>
    </row>
    <row r="519" spans="1:8">
      <c r="A519" s="170"/>
      <c r="B519" s="171"/>
      <c r="C519" s="172"/>
      <c r="D519" s="173"/>
      <c r="E519" s="173"/>
      <c r="F519" s="173"/>
      <c r="G519" s="173"/>
      <c r="H519" s="173"/>
    </row>
    <row r="520" spans="1:8">
      <c r="A520" s="170"/>
      <c r="B520" s="171"/>
      <c r="C520" s="172"/>
      <c r="D520" s="173"/>
      <c r="E520" s="173"/>
      <c r="F520" s="173"/>
      <c r="G520" s="173"/>
      <c r="H520" s="173"/>
    </row>
    <row r="521" spans="1:8">
      <c r="A521" s="170"/>
      <c r="B521" s="171"/>
      <c r="C521" s="172"/>
      <c r="D521" s="173"/>
      <c r="E521" s="173"/>
      <c r="F521" s="173"/>
      <c r="G521" s="173"/>
      <c r="H521" s="173"/>
    </row>
    <row r="522" spans="1:8">
      <c r="A522" s="170"/>
      <c r="B522" s="171"/>
      <c r="C522" s="172"/>
      <c r="D522" s="173"/>
      <c r="E522" s="173"/>
      <c r="F522" s="173"/>
      <c r="G522" s="173"/>
      <c r="H522" s="173"/>
    </row>
    <row r="523" spans="1:8">
      <c r="A523" s="170"/>
      <c r="B523" s="171"/>
      <c r="C523" s="172"/>
      <c r="D523" s="173"/>
      <c r="E523" s="173"/>
      <c r="F523" s="173"/>
      <c r="G523" s="173"/>
      <c r="H523" s="173"/>
    </row>
    <row r="524" spans="1:8">
      <c r="A524" s="170"/>
      <c r="B524" s="171"/>
      <c r="C524" s="172"/>
      <c r="D524" s="173"/>
      <c r="E524" s="173"/>
      <c r="F524" s="173"/>
      <c r="G524" s="173"/>
      <c r="H524" s="173"/>
    </row>
    <row r="525" spans="1:8">
      <c r="A525" s="170"/>
      <c r="B525" s="171"/>
      <c r="C525" s="172"/>
      <c r="D525" s="173"/>
      <c r="E525" s="173"/>
      <c r="F525" s="173"/>
      <c r="G525" s="173"/>
      <c r="H525" s="173"/>
    </row>
    <row r="526" spans="1:8">
      <c r="A526" s="170"/>
      <c r="B526" s="171"/>
      <c r="C526" s="172"/>
      <c r="D526" s="173"/>
      <c r="E526" s="173"/>
      <c r="F526" s="173"/>
      <c r="G526" s="173"/>
      <c r="H526" s="173"/>
    </row>
    <row r="527" spans="1:8">
      <c r="A527" s="170"/>
      <c r="B527" s="171"/>
      <c r="C527" s="172"/>
      <c r="D527" s="173"/>
      <c r="E527" s="173"/>
      <c r="F527" s="173"/>
      <c r="G527" s="173"/>
      <c r="H527" s="173"/>
    </row>
    <row r="528" spans="1:8">
      <c r="A528" s="170"/>
      <c r="B528" s="171"/>
      <c r="C528" s="171"/>
      <c r="D528" s="173"/>
      <c r="E528" s="173"/>
      <c r="F528" s="173"/>
      <c r="G528" s="173"/>
      <c r="H528" s="173"/>
    </row>
    <row r="529" spans="1:8">
      <c r="A529" s="170"/>
      <c r="B529" s="171"/>
      <c r="C529" s="171"/>
      <c r="D529" s="173"/>
      <c r="E529" s="173"/>
      <c r="F529" s="173"/>
      <c r="G529" s="173"/>
      <c r="H529" s="173"/>
    </row>
    <row r="530" spans="1:8">
      <c r="A530" s="170"/>
      <c r="B530" s="171"/>
      <c r="C530" s="171"/>
      <c r="D530" s="173"/>
      <c r="E530" s="173"/>
      <c r="F530" s="173"/>
      <c r="G530" s="173"/>
      <c r="H530" s="173"/>
    </row>
    <row r="531" spans="1:8">
      <c r="A531" s="170"/>
      <c r="B531" s="171"/>
      <c r="C531" s="171"/>
      <c r="D531" s="173"/>
      <c r="E531" s="173"/>
      <c r="F531" s="173"/>
      <c r="G531" s="173"/>
      <c r="H531" s="173"/>
    </row>
    <row r="532" spans="1:8">
      <c r="A532" s="170"/>
      <c r="B532" s="171"/>
      <c r="C532" s="171"/>
      <c r="D532" s="173"/>
      <c r="E532" s="173"/>
      <c r="F532" s="173"/>
      <c r="G532" s="173"/>
      <c r="H532" s="173"/>
    </row>
    <row r="533" spans="1:8">
      <c r="A533" s="170"/>
      <c r="B533" s="171"/>
      <c r="C533" s="171"/>
      <c r="D533" s="173"/>
      <c r="E533" s="173"/>
      <c r="F533" s="173"/>
      <c r="G533" s="173"/>
      <c r="H533" s="173"/>
    </row>
    <row r="534" spans="1:8">
      <c r="A534" s="170"/>
      <c r="B534" s="171"/>
      <c r="C534" s="171"/>
      <c r="D534" s="173"/>
      <c r="E534" s="173"/>
      <c r="F534" s="173"/>
      <c r="G534" s="173"/>
      <c r="H534" s="173"/>
    </row>
    <row r="535" spans="1:8">
      <c r="A535" s="170"/>
      <c r="B535" s="171"/>
      <c r="C535" s="171"/>
      <c r="D535" s="173"/>
      <c r="E535" s="173"/>
      <c r="F535" s="173"/>
      <c r="G535" s="173"/>
      <c r="H535" s="173"/>
    </row>
    <row r="536" spans="1:8">
      <c r="A536" s="170"/>
      <c r="B536" s="171"/>
      <c r="C536" s="171"/>
      <c r="D536" s="173"/>
      <c r="E536" s="173"/>
      <c r="F536" s="173"/>
      <c r="G536" s="173"/>
      <c r="H536" s="173"/>
    </row>
    <row r="537" spans="1:8">
      <c r="A537" s="170"/>
      <c r="B537" s="171"/>
      <c r="C537" s="171"/>
      <c r="D537" s="173"/>
      <c r="E537" s="173"/>
      <c r="F537" s="173"/>
      <c r="G537" s="173"/>
      <c r="H537" s="173"/>
    </row>
    <row r="538" spans="1:8">
      <c r="A538" s="170"/>
      <c r="B538" s="171"/>
      <c r="C538" s="171"/>
      <c r="D538" s="173"/>
      <c r="E538" s="173"/>
      <c r="F538" s="173"/>
      <c r="G538" s="173"/>
      <c r="H538" s="173"/>
    </row>
    <row r="539" spans="1:8">
      <c r="A539" s="170"/>
      <c r="B539" s="171"/>
      <c r="C539" s="171"/>
      <c r="D539" s="173"/>
      <c r="E539" s="173"/>
      <c r="F539" s="173"/>
      <c r="G539" s="173"/>
      <c r="H539" s="173"/>
    </row>
    <row r="540" spans="1:8">
      <c r="A540" s="170"/>
      <c r="B540" s="171"/>
      <c r="C540" s="171"/>
      <c r="D540" s="173"/>
      <c r="E540" s="173"/>
      <c r="F540" s="173"/>
      <c r="G540" s="173"/>
      <c r="H540" s="173"/>
    </row>
    <row r="541" spans="1:8">
      <c r="A541" s="170"/>
      <c r="B541" s="171"/>
      <c r="C541" s="171"/>
      <c r="D541" s="173"/>
      <c r="E541" s="173"/>
      <c r="F541" s="173"/>
      <c r="G541" s="173"/>
      <c r="H541" s="173"/>
    </row>
    <row r="542" spans="1:8">
      <c r="A542" s="170"/>
      <c r="B542" s="171"/>
      <c r="C542" s="171"/>
      <c r="D542" s="173"/>
      <c r="E542" s="173"/>
      <c r="F542" s="173"/>
      <c r="G542" s="173"/>
      <c r="H542" s="173"/>
    </row>
    <row r="543" spans="1:8">
      <c r="A543" s="170"/>
      <c r="B543" s="171"/>
      <c r="C543" s="171"/>
      <c r="D543" s="173"/>
      <c r="E543" s="173"/>
      <c r="F543" s="173"/>
      <c r="G543" s="173"/>
      <c r="H543" s="173"/>
    </row>
    <row r="544" spans="1:8">
      <c r="A544" s="170"/>
      <c r="B544" s="171"/>
      <c r="C544" s="171"/>
      <c r="D544" s="173"/>
      <c r="E544" s="173"/>
      <c r="F544" s="173"/>
      <c r="G544" s="173"/>
      <c r="H544" s="173"/>
    </row>
    <row r="545" spans="1:8">
      <c r="A545" s="170"/>
      <c r="B545" s="171"/>
      <c r="C545" s="171"/>
      <c r="D545" s="173"/>
      <c r="E545" s="173"/>
      <c r="F545" s="173"/>
      <c r="G545" s="173"/>
      <c r="H545" s="173"/>
    </row>
    <row r="546" spans="1:8">
      <c r="A546" s="170"/>
      <c r="B546" s="171"/>
      <c r="C546" s="171"/>
      <c r="D546" s="173"/>
      <c r="E546" s="173"/>
      <c r="F546" s="173"/>
      <c r="G546" s="173"/>
      <c r="H546" s="173"/>
    </row>
    <row r="547" spans="1:8">
      <c r="A547" s="170"/>
      <c r="B547" s="171"/>
      <c r="C547" s="171"/>
      <c r="D547" s="173"/>
      <c r="E547" s="173"/>
      <c r="F547" s="173"/>
      <c r="G547" s="173"/>
      <c r="H547" s="173"/>
    </row>
    <row r="548" spans="1:8">
      <c r="A548" s="170"/>
      <c r="B548" s="171"/>
      <c r="C548" s="171"/>
      <c r="D548" s="173"/>
      <c r="E548" s="173"/>
      <c r="F548" s="173"/>
      <c r="G548" s="173"/>
      <c r="H548" s="173"/>
    </row>
    <row r="549" spans="1:8">
      <c r="A549" s="170"/>
      <c r="B549" s="171"/>
      <c r="C549" s="171"/>
      <c r="D549" s="173"/>
      <c r="E549" s="173"/>
      <c r="F549" s="173"/>
      <c r="G549" s="173"/>
      <c r="H549" s="173"/>
    </row>
    <row r="550" spans="1:8">
      <c r="A550" s="170"/>
      <c r="B550" s="171"/>
      <c r="C550" s="171"/>
      <c r="D550" s="173"/>
      <c r="E550" s="173"/>
      <c r="F550" s="173"/>
      <c r="G550" s="173"/>
      <c r="H550" s="173"/>
    </row>
    <row r="551" spans="1:8">
      <c r="A551" s="170"/>
      <c r="B551" s="171"/>
      <c r="C551" s="171"/>
      <c r="D551" s="173"/>
      <c r="E551" s="173"/>
      <c r="F551" s="173"/>
      <c r="G551" s="173"/>
      <c r="H551" s="173"/>
    </row>
    <row r="552" spans="1:8">
      <c r="A552" s="170"/>
      <c r="B552" s="171"/>
      <c r="C552" s="171"/>
      <c r="D552" s="173"/>
      <c r="E552" s="173"/>
      <c r="F552" s="173"/>
      <c r="G552" s="173"/>
      <c r="H552" s="173"/>
    </row>
    <row r="553" spans="1:8">
      <c r="A553" s="170"/>
      <c r="B553" s="171"/>
      <c r="C553" s="171"/>
      <c r="D553" s="173"/>
      <c r="E553" s="173"/>
      <c r="F553" s="173"/>
      <c r="G553" s="173"/>
      <c r="H553" s="173"/>
    </row>
    <row r="554" spans="1:8">
      <c r="A554" s="170"/>
      <c r="B554" s="171"/>
      <c r="C554" s="171"/>
      <c r="D554" s="173"/>
      <c r="E554" s="173"/>
      <c r="F554" s="173"/>
      <c r="G554" s="173"/>
      <c r="H554" s="173"/>
    </row>
    <row r="555" spans="1:8">
      <c r="A555" s="170"/>
      <c r="B555" s="171"/>
      <c r="C555" s="171"/>
      <c r="D555" s="173"/>
      <c r="E555" s="173"/>
      <c r="F555" s="173"/>
      <c r="G555" s="173"/>
      <c r="H555" s="173"/>
    </row>
    <row r="556" spans="1:8">
      <c r="A556" s="170"/>
      <c r="B556" s="171"/>
      <c r="C556" s="171"/>
      <c r="D556" s="173"/>
      <c r="E556" s="173"/>
      <c r="F556" s="173"/>
      <c r="G556" s="173"/>
      <c r="H556" s="173"/>
    </row>
    <row r="557" spans="1:8">
      <c r="A557" s="170"/>
      <c r="B557" s="171"/>
      <c r="C557" s="171"/>
      <c r="D557" s="173"/>
      <c r="E557" s="173"/>
      <c r="F557" s="173"/>
      <c r="G557" s="173"/>
      <c r="H557" s="173"/>
    </row>
    <row r="558" spans="1:8">
      <c r="A558" s="170"/>
      <c r="B558" s="171"/>
      <c r="C558" s="171"/>
      <c r="D558" s="173"/>
      <c r="E558" s="173"/>
      <c r="F558" s="173"/>
      <c r="G558" s="173"/>
      <c r="H558" s="173"/>
    </row>
    <row r="559" spans="1:8">
      <c r="A559" s="170"/>
      <c r="B559" s="171"/>
      <c r="C559" s="171"/>
      <c r="D559" s="173"/>
      <c r="E559" s="173"/>
      <c r="F559" s="173"/>
      <c r="G559" s="173"/>
      <c r="H559" s="173"/>
    </row>
    <row r="560" spans="1:8">
      <c r="A560" s="170"/>
      <c r="B560" s="171"/>
      <c r="C560" s="171"/>
      <c r="D560" s="173"/>
      <c r="E560" s="173"/>
      <c r="F560" s="173"/>
      <c r="G560" s="173"/>
      <c r="H560" s="173"/>
    </row>
    <row r="561" spans="1:8">
      <c r="A561" s="170"/>
      <c r="B561" s="171"/>
      <c r="C561" s="171"/>
      <c r="D561" s="173"/>
      <c r="E561" s="173"/>
      <c r="F561" s="173"/>
      <c r="G561" s="173"/>
      <c r="H561" s="173"/>
    </row>
    <row r="562" spans="1:8">
      <c r="A562" s="170"/>
      <c r="B562" s="171"/>
      <c r="C562" s="171"/>
      <c r="D562" s="173"/>
      <c r="E562" s="173"/>
      <c r="F562" s="173"/>
      <c r="G562" s="173"/>
      <c r="H562" s="173"/>
    </row>
    <row r="563" spans="1:8">
      <c r="A563" s="170"/>
      <c r="B563" s="171"/>
      <c r="C563" s="171"/>
      <c r="D563" s="173"/>
      <c r="E563" s="173"/>
      <c r="F563" s="173"/>
      <c r="G563" s="173"/>
      <c r="H563" s="173"/>
    </row>
    <row r="564" spans="1:8">
      <c r="A564" s="170"/>
      <c r="B564" s="171"/>
      <c r="C564" s="171"/>
      <c r="D564" s="173"/>
      <c r="E564" s="173"/>
      <c r="F564" s="173"/>
      <c r="G564" s="173"/>
      <c r="H564" s="173"/>
    </row>
    <row r="565" spans="1:8">
      <c r="A565" s="170"/>
      <c r="B565" s="171"/>
      <c r="C565" s="171"/>
      <c r="D565" s="173"/>
      <c r="E565" s="173"/>
      <c r="F565" s="173"/>
      <c r="G565" s="173"/>
      <c r="H565" s="173"/>
    </row>
    <row r="566" spans="1:8">
      <c r="A566" s="170"/>
      <c r="B566" s="171"/>
      <c r="C566" s="171"/>
      <c r="D566" s="173"/>
      <c r="E566" s="173"/>
      <c r="F566" s="173"/>
      <c r="G566" s="173"/>
      <c r="H566" s="173"/>
    </row>
    <row r="567" spans="1:8">
      <c r="A567" s="170"/>
      <c r="B567" s="171"/>
      <c r="C567" s="171"/>
      <c r="D567" s="173"/>
      <c r="E567" s="173"/>
      <c r="F567" s="173"/>
      <c r="G567" s="173"/>
      <c r="H567" s="173"/>
    </row>
    <row r="568" spans="1:8">
      <c r="A568" s="170"/>
      <c r="B568" s="171"/>
      <c r="C568" s="171"/>
      <c r="D568" s="173"/>
      <c r="E568" s="173"/>
      <c r="F568" s="173"/>
      <c r="G568" s="173"/>
      <c r="H568" s="173"/>
    </row>
    <row r="569" spans="1:8">
      <c r="A569" s="170"/>
      <c r="B569" s="171"/>
      <c r="C569" s="171"/>
      <c r="D569" s="173"/>
      <c r="E569" s="173"/>
      <c r="F569" s="173"/>
      <c r="G569" s="173"/>
      <c r="H569" s="173"/>
    </row>
    <row r="570" spans="1:8">
      <c r="A570" s="170"/>
      <c r="B570" s="171"/>
      <c r="C570" s="171"/>
      <c r="D570" s="173"/>
      <c r="E570" s="173"/>
      <c r="F570" s="173"/>
      <c r="G570" s="173"/>
      <c r="H570" s="173"/>
    </row>
    <row r="571" spans="1:8">
      <c r="A571" s="170"/>
      <c r="B571" s="171"/>
      <c r="C571" s="171"/>
      <c r="D571" s="173"/>
      <c r="E571" s="173"/>
      <c r="F571" s="173"/>
      <c r="G571" s="173"/>
      <c r="H571" s="173"/>
    </row>
    <row r="572" spans="1:8">
      <c r="A572" s="170"/>
      <c r="B572" s="171"/>
      <c r="C572" s="171"/>
      <c r="D572" s="171"/>
      <c r="E572" s="171"/>
      <c r="F572" s="171"/>
      <c r="G572" s="171"/>
      <c r="H572" s="171"/>
    </row>
    <row r="573" spans="1:8">
      <c r="A573" s="170"/>
      <c r="B573" s="171"/>
      <c r="C573" s="171"/>
      <c r="D573" s="171"/>
      <c r="E573" s="171"/>
      <c r="F573" s="171"/>
      <c r="G573" s="171"/>
      <c r="H573" s="171"/>
    </row>
    <row r="574" spans="1:8">
      <c r="A574" s="170"/>
      <c r="B574" s="171"/>
      <c r="C574" s="171"/>
      <c r="D574" s="171"/>
      <c r="E574" s="171"/>
      <c r="F574" s="171"/>
      <c r="G574" s="171"/>
      <c r="H574" s="171"/>
    </row>
    <row r="575" spans="1:8">
      <c r="A575" s="170"/>
      <c r="B575" s="171"/>
      <c r="C575" s="171"/>
      <c r="D575" s="171"/>
      <c r="E575" s="171"/>
      <c r="F575" s="171"/>
      <c r="G575" s="171"/>
      <c r="H575" s="171"/>
    </row>
    <row r="576" spans="1:8">
      <c r="A576" s="170"/>
      <c r="B576" s="171"/>
      <c r="C576" s="171"/>
      <c r="D576" s="171"/>
      <c r="E576" s="171"/>
      <c r="F576" s="171"/>
      <c r="G576" s="171"/>
      <c r="H576" s="171"/>
    </row>
    <row r="577" spans="1:8">
      <c r="A577" s="170"/>
      <c r="B577" s="171"/>
      <c r="C577" s="171"/>
      <c r="D577" s="171"/>
      <c r="E577" s="171"/>
      <c r="F577" s="171"/>
      <c r="G577" s="171"/>
      <c r="H577" s="171"/>
    </row>
    <row r="578" spans="1:8">
      <c r="A578" s="170"/>
      <c r="B578" s="171"/>
      <c r="C578" s="171"/>
      <c r="D578" s="171"/>
      <c r="E578" s="171"/>
      <c r="F578" s="171"/>
      <c r="G578" s="171"/>
      <c r="H578" s="171"/>
    </row>
    <row r="579" spans="1:8">
      <c r="A579" s="170"/>
      <c r="B579" s="171"/>
      <c r="C579" s="171"/>
      <c r="D579" s="171"/>
      <c r="E579" s="171"/>
      <c r="F579" s="171"/>
      <c r="G579" s="171"/>
      <c r="H579" s="171"/>
    </row>
    <row r="580" spans="1:8">
      <c r="A580" s="170"/>
      <c r="B580" s="171"/>
      <c r="C580" s="171"/>
      <c r="D580" s="171"/>
      <c r="E580" s="171"/>
      <c r="F580" s="171"/>
      <c r="G580" s="171"/>
      <c r="H580" s="171"/>
    </row>
    <row r="581" spans="1:8">
      <c r="A581" s="170"/>
      <c r="B581" s="171"/>
      <c r="C581" s="171"/>
      <c r="D581" s="171"/>
      <c r="E581" s="171"/>
      <c r="F581" s="171"/>
      <c r="G581" s="171"/>
      <c r="H581" s="171"/>
    </row>
    <row r="582" spans="1:8">
      <c r="A582" s="170"/>
      <c r="B582" s="171"/>
      <c r="C582" s="171"/>
      <c r="D582" s="171"/>
      <c r="E582" s="171"/>
      <c r="F582" s="171"/>
      <c r="G582" s="171"/>
      <c r="H582" s="171"/>
    </row>
    <row r="583" spans="1:8">
      <c r="A583" s="170"/>
      <c r="B583" s="171"/>
      <c r="C583" s="171"/>
      <c r="D583" s="171"/>
      <c r="E583" s="171"/>
      <c r="F583" s="171"/>
      <c r="G583" s="171"/>
      <c r="H583" s="171"/>
    </row>
    <row r="584" spans="1:8">
      <c r="A584" s="170"/>
      <c r="B584" s="171"/>
      <c r="C584" s="171"/>
      <c r="D584" s="171"/>
      <c r="E584" s="171"/>
      <c r="F584" s="171"/>
      <c r="G584" s="171"/>
      <c r="H584" s="171"/>
    </row>
    <row r="585" spans="1:8">
      <c r="A585" s="170"/>
      <c r="B585" s="171"/>
      <c r="C585" s="171"/>
      <c r="D585" s="171"/>
      <c r="E585" s="171"/>
      <c r="F585" s="171"/>
      <c r="G585" s="171"/>
      <c r="H585" s="171"/>
    </row>
    <row r="586" spans="1:8">
      <c r="A586" s="170"/>
      <c r="B586" s="171"/>
      <c r="C586" s="171"/>
      <c r="D586" s="171"/>
      <c r="E586" s="171"/>
      <c r="F586" s="171"/>
      <c r="G586" s="171"/>
      <c r="H586" s="171"/>
    </row>
    <row r="587" spans="1:8">
      <c r="A587" s="170"/>
      <c r="B587" s="171"/>
      <c r="C587" s="171"/>
      <c r="D587" s="171"/>
      <c r="E587" s="171"/>
      <c r="F587" s="171"/>
      <c r="G587" s="171"/>
      <c r="H587" s="171"/>
    </row>
    <row r="588" spans="1:8">
      <c r="A588" s="170"/>
      <c r="B588" s="171"/>
      <c r="C588" s="171"/>
      <c r="D588" s="171"/>
      <c r="E588" s="171"/>
      <c r="F588" s="171"/>
      <c r="G588" s="171"/>
      <c r="H588" s="171"/>
    </row>
    <row r="589" spans="1:8">
      <c r="A589" s="170"/>
      <c r="B589" s="171"/>
      <c r="C589" s="171"/>
      <c r="D589" s="171"/>
      <c r="E589" s="171"/>
      <c r="F589" s="171"/>
      <c r="G589" s="171"/>
      <c r="H589" s="171"/>
    </row>
    <row r="590" spans="1:8">
      <c r="A590" s="170"/>
      <c r="B590" s="171"/>
      <c r="C590" s="171"/>
      <c r="D590" s="171"/>
      <c r="E590" s="171"/>
      <c r="F590" s="171"/>
      <c r="G590" s="171"/>
      <c r="H590" s="171"/>
    </row>
    <row r="591" spans="1:8">
      <c r="A591" s="170"/>
      <c r="B591" s="171"/>
      <c r="C591" s="171"/>
      <c r="D591" s="171"/>
      <c r="E591" s="171"/>
      <c r="F591" s="171"/>
      <c r="G591" s="171"/>
      <c r="H591" s="171"/>
    </row>
    <row r="592" spans="1:8">
      <c r="A592" s="170"/>
      <c r="B592" s="171"/>
      <c r="C592" s="171"/>
      <c r="D592" s="171"/>
      <c r="E592" s="171"/>
      <c r="F592" s="171"/>
      <c r="G592" s="171"/>
      <c r="H592" s="171"/>
    </row>
    <row r="593" spans="1:8">
      <c r="A593" s="170"/>
      <c r="B593" s="171"/>
      <c r="C593" s="171"/>
      <c r="D593" s="171"/>
      <c r="E593" s="171"/>
      <c r="F593" s="171"/>
      <c r="G593" s="171"/>
      <c r="H593" s="171"/>
    </row>
    <row r="594" spans="1:8">
      <c r="A594" s="170"/>
      <c r="B594" s="171"/>
      <c r="C594" s="171"/>
      <c r="D594" s="171"/>
      <c r="E594" s="171"/>
      <c r="F594" s="171"/>
      <c r="G594" s="171"/>
      <c r="H594" s="171"/>
    </row>
    <row r="595" spans="1:8">
      <c r="A595" s="170"/>
      <c r="B595" s="171"/>
      <c r="C595" s="171"/>
      <c r="D595" s="171"/>
      <c r="E595" s="171"/>
      <c r="F595" s="171"/>
      <c r="G595" s="171"/>
      <c r="H595" s="171"/>
    </row>
    <row r="596" spans="1:8">
      <c r="A596" s="170"/>
      <c r="B596" s="171"/>
      <c r="C596" s="171"/>
      <c r="D596" s="171"/>
      <c r="E596" s="171"/>
      <c r="F596" s="171"/>
      <c r="G596" s="171"/>
      <c r="H596" s="171"/>
    </row>
    <row r="597" spans="1:8">
      <c r="A597" s="170"/>
      <c r="B597" s="171"/>
      <c r="C597" s="171"/>
      <c r="D597" s="171"/>
      <c r="E597" s="171"/>
      <c r="F597" s="171"/>
      <c r="G597" s="171"/>
      <c r="H597" s="171"/>
    </row>
    <row r="598" spans="1:8">
      <c r="A598" s="170"/>
      <c r="B598" s="171"/>
      <c r="C598" s="171"/>
      <c r="D598" s="171"/>
      <c r="E598" s="171"/>
      <c r="F598" s="171"/>
      <c r="G598" s="171"/>
      <c r="H598" s="171"/>
    </row>
    <row r="599" spans="1:8">
      <c r="A599" s="170"/>
      <c r="B599" s="171"/>
      <c r="C599" s="171"/>
      <c r="D599" s="171"/>
      <c r="E599" s="171"/>
      <c r="F599" s="171"/>
      <c r="G599" s="171"/>
      <c r="H599" s="171"/>
    </row>
    <row r="600" spans="1:8">
      <c r="A600" s="170"/>
      <c r="B600" s="171"/>
      <c r="C600" s="171"/>
      <c r="D600" s="171"/>
      <c r="E600" s="171"/>
      <c r="F600" s="171"/>
      <c r="G600" s="171"/>
      <c r="H600" s="171"/>
    </row>
    <row r="601" spans="1:8">
      <c r="A601" s="170"/>
      <c r="B601" s="171"/>
      <c r="C601" s="171"/>
      <c r="D601" s="171"/>
      <c r="E601" s="171"/>
      <c r="F601" s="171"/>
      <c r="G601" s="171"/>
      <c r="H601" s="171"/>
    </row>
    <row r="602" spans="1:8">
      <c r="A602" s="170"/>
      <c r="B602" s="171"/>
      <c r="C602" s="171"/>
      <c r="D602" s="171"/>
      <c r="E602" s="171"/>
      <c r="F602" s="171"/>
      <c r="G602" s="171"/>
      <c r="H602" s="171"/>
    </row>
    <row r="603" spans="1:8">
      <c r="A603" s="170"/>
      <c r="B603" s="171"/>
      <c r="C603" s="171"/>
      <c r="D603" s="171"/>
      <c r="E603" s="171"/>
      <c r="F603" s="171"/>
      <c r="G603" s="171"/>
      <c r="H603" s="171"/>
    </row>
    <row r="604" spans="1:8">
      <c r="A604" s="170"/>
      <c r="B604" s="171"/>
      <c r="C604" s="171"/>
      <c r="D604" s="171"/>
      <c r="E604" s="171"/>
      <c r="F604" s="171"/>
      <c r="G604" s="171"/>
      <c r="H604" s="171"/>
    </row>
    <row r="605" spans="1:8">
      <c r="A605" s="170"/>
      <c r="B605" s="171"/>
      <c r="C605" s="171"/>
      <c r="D605" s="171"/>
      <c r="E605" s="171"/>
      <c r="F605" s="171"/>
      <c r="G605" s="171"/>
      <c r="H605" s="171"/>
    </row>
    <row r="606" spans="1:8">
      <c r="A606" s="170"/>
      <c r="B606" s="171"/>
      <c r="C606" s="171"/>
      <c r="D606" s="171"/>
      <c r="E606" s="171"/>
      <c r="F606" s="171"/>
      <c r="G606" s="171"/>
      <c r="H606" s="171"/>
    </row>
    <row r="607" spans="1:8">
      <c r="A607" s="170"/>
      <c r="B607" s="171"/>
      <c r="C607" s="171"/>
      <c r="D607" s="171"/>
      <c r="E607" s="171"/>
      <c r="F607" s="171"/>
      <c r="G607" s="171"/>
      <c r="H607" s="171"/>
    </row>
    <row r="608" spans="1:8">
      <c r="A608" s="170"/>
      <c r="B608" s="171"/>
      <c r="C608" s="171"/>
      <c r="D608" s="171"/>
      <c r="E608" s="171"/>
      <c r="F608" s="171"/>
      <c r="G608" s="171"/>
      <c r="H608" s="171"/>
    </row>
    <row r="609" spans="1:8">
      <c r="A609" s="170"/>
      <c r="B609" s="171"/>
      <c r="C609" s="171"/>
      <c r="D609" s="171"/>
      <c r="E609" s="171"/>
      <c r="F609" s="171"/>
      <c r="G609" s="171"/>
      <c r="H609" s="171"/>
    </row>
    <row r="610" spans="1:8">
      <c r="A610" s="170"/>
      <c r="B610" s="171"/>
      <c r="C610" s="171"/>
      <c r="D610" s="171"/>
      <c r="E610" s="171"/>
      <c r="F610" s="171"/>
      <c r="G610" s="171"/>
      <c r="H610" s="171"/>
    </row>
    <row r="611" spans="1:8">
      <c r="A611" s="170"/>
      <c r="B611" s="171"/>
      <c r="C611" s="171"/>
      <c r="D611" s="171"/>
      <c r="E611" s="171"/>
      <c r="F611" s="171"/>
      <c r="G611" s="171"/>
      <c r="H611" s="171"/>
    </row>
    <row r="612" spans="1:8">
      <c r="A612" s="170"/>
      <c r="B612" s="171"/>
      <c r="C612" s="171"/>
      <c r="D612" s="171"/>
      <c r="E612" s="171"/>
      <c r="F612" s="171"/>
      <c r="G612" s="171"/>
      <c r="H612" s="171"/>
    </row>
    <row r="613" spans="1:8">
      <c r="A613" s="170"/>
      <c r="B613" s="171"/>
      <c r="C613" s="171"/>
      <c r="D613" s="171"/>
      <c r="E613" s="171"/>
      <c r="F613" s="171"/>
      <c r="G613" s="171"/>
      <c r="H613" s="171"/>
    </row>
    <row r="614" spans="1:8">
      <c r="A614" s="170"/>
      <c r="B614" s="171"/>
      <c r="C614" s="171"/>
      <c r="D614" s="171"/>
      <c r="E614" s="171"/>
      <c r="F614" s="171"/>
      <c r="G614" s="171"/>
      <c r="H614" s="171"/>
    </row>
    <row r="615" spans="1:8">
      <c r="A615" s="170"/>
      <c r="B615" s="171"/>
      <c r="C615" s="171"/>
      <c r="D615" s="171"/>
      <c r="E615" s="171"/>
      <c r="F615" s="171"/>
      <c r="G615" s="171"/>
      <c r="H615" s="171"/>
    </row>
    <row r="616" spans="1:8">
      <c r="A616" s="170"/>
      <c r="B616" s="171"/>
      <c r="C616" s="171"/>
      <c r="D616" s="171"/>
      <c r="E616" s="171"/>
      <c r="F616" s="171"/>
      <c r="G616" s="171"/>
      <c r="H616" s="171"/>
    </row>
    <row r="617" spans="1:8">
      <c r="A617" s="170"/>
      <c r="B617" s="171"/>
      <c r="C617" s="171"/>
      <c r="D617" s="171"/>
      <c r="E617" s="171"/>
      <c r="F617" s="171"/>
      <c r="G617" s="171"/>
      <c r="H617" s="171"/>
    </row>
    <row r="618" spans="1:8">
      <c r="A618" s="170"/>
      <c r="B618" s="171"/>
      <c r="C618" s="171"/>
      <c r="D618" s="171"/>
      <c r="E618" s="171"/>
      <c r="F618" s="171"/>
      <c r="G618" s="171"/>
      <c r="H618" s="171"/>
    </row>
    <row r="619" spans="1:8">
      <c r="A619" s="170"/>
      <c r="B619" s="171"/>
      <c r="C619" s="171"/>
      <c r="D619" s="171"/>
      <c r="E619" s="171"/>
      <c r="F619" s="171"/>
      <c r="G619" s="171"/>
      <c r="H619" s="171"/>
    </row>
    <row r="620" spans="1:8">
      <c r="A620" s="170"/>
      <c r="B620" s="171"/>
      <c r="C620" s="171"/>
      <c r="D620" s="171"/>
      <c r="E620" s="171"/>
      <c r="F620" s="171"/>
      <c r="G620" s="171"/>
      <c r="H620" s="171"/>
    </row>
    <row r="621" spans="1:8">
      <c r="A621" s="170"/>
      <c r="B621" s="171"/>
      <c r="C621" s="171"/>
      <c r="D621" s="171"/>
      <c r="E621" s="171"/>
      <c r="F621" s="171"/>
      <c r="G621" s="171"/>
      <c r="H621" s="171"/>
    </row>
    <row r="622" spans="1:8">
      <c r="A622" s="170"/>
      <c r="B622" s="171"/>
      <c r="C622" s="171"/>
      <c r="D622" s="171"/>
      <c r="E622" s="171"/>
      <c r="F622" s="171"/>
      <c r="G622" s="171"/>
      <c r="H622" s="171"/>
    </row>
    <row r="623" spans="1:8">
      <c r="A623" s="170"/>
      <c r="B623" s="171"/>
      <c r="C623" s="171"/>
      <c r="D623" s="171"/>
      <c r="E623" s="171"/>
      <c r="F623" s="171"/>
      <c r="G623" s="171"/>
      <c r="H623" s="171"/>
    </row>
    <row r="624" spans="1:8">
      <c r="A624" s="170"/>
      <c r="B624" s="171"/>
      <c r="C624" s="171"/>
      <c r="D624" s="171"/>
      <c r="E624" s="171"/>
      <c r="F624" s="171"/>
      <c r="G624" s="171"/>
      <c r="H624" s="171"/>
    </row>
    <row r="625" spans="1:8">
      <c r="A625" s="170"/>
      <c r="B625" s="171"/>
      <c r="C625" s="171"/>
      <c r="D625" s="171"/>
      <c r="E625" s="171"/>
      <c r="F625" s="171"/>
      <c r="G625" s="171"/>
      <c r="H625" s="171"/>
    </row>
    <row r="626" spans="1:8">
      <c r="A626" s="170"/>
      <c r="B626" s="171"/>
      <c r="C626" s="171"/>
      <c r="D626" s="171"/>
      <c r="E626" s="171"/>
      <c r="F626" s="171"/>
      <c r="G626" s="171"/>
      <c r="H626" s="171"/>
    </row>
    <row r="627" spans="1:8">
      <c r="A627" s="170"/>
      <c r="B627" s="171"/>
      <c r="C627" s="171"/>
      <c r="D627" s="171"/>
      <c r="E627" s="171"/>
      <c r="F627" s="171"/>
      <c r="G627" s="171"/>
      <c r="H627" s="171"/>
    </row>
    <row r="628" spans="1:8">
      <c r="A628" s="170"/>
      <c r="B628" s="171"/>
      <c r="C628" s="171"/>
      <c r="D628" s="171"/>
      <c r="E628" s="171"/>
      <c r="F628" s="171"/>
      <c r="G628" s="171"/>
      <c r="H628" s="171"/>
    </row>
    <row r="629" spans="1:8">
      <c r="A629" s="170"/>
      <c r="B629" s="171"/>
      <c r="C629" s="171"/>
      <c r="D629" s="171"/>
      <c r="E629" s="171"/>
      <c r="F629" s="171"/>
      <c r="G629" s="171"/>
      <c r="H629" s="171"/>
    </row>
    <row r="630" spans="1:8">
      <c r="A630" s="170"/>
      <c r="B630" s="171"/>
      <c r="C630" s="171"/>
      <c r="D630" s="171"/>
      <c r="E630" s="171"/>
      <c r="F630" s="171"/>
      <c r="G630" s="171"/>
      <c r="H630" s="171"/>
    </row>
    <row r="631" spans="1:8">
      <c r="A631" s="170"/>
      <c r="B631" s="171"/>
      <c r="C631" s="171"/>
      <c r="D631" s="171"/>
      <c r="E631" s="171"/>
      <c r="F631" s="171"/>
      <c r="G631" s="171"/>
      <c r="H631" s="171"/>
    </row>
    <row r="632" spans="1:8">
      <c r="A632" s="170"/>
      <c r="B632" s="171"/>
      <c r="C632" s="171"/>
      <c r="D632" s="171"/>
      <c r="E632" s="171"/>
      <c r="F632" s="171"/>
      <c r="G632" s="171"/>
      <c r="H632" s="171"/>
    </row>
    <row r="633" spans="1:8">
      <c r="A633" s="170"/>
      <c r="B633" s="171"/>
      <c r="C633" s="171"/>
      <c r="D633" s="171"/>
      <c r="E633" s="171"/>
      <c r="F633" s="171"/>
      <c r="G633" s="171"/>
      <c r="H633" s="171"/>
    </row>
    <row r="634" spans="1:8">
      <c r="A634" s="170"/>
      <c r="B634" s="171"/>
      <c r="C634" s="171"/>
      <c r="D634" s="171"/>
      <c r="E634" s="171"/>
      <c r="F634" s="171"/>
      <c r="G634" s="171"/>
      <c r="H634" s="171"/>
    </row>
    <row r="635" spans="1:8">
      <c r="A635" s="170"/>
      <c r="B635" s="171"/>
      <c r="C635" s="171"/>
      <c r="D635" s="171"/>
      <c r="E635" s="171"/>
      <c r="F635" s="171"/>
      <c r="G635" s="171"/>
      <c r="H635" s="171"/>
    </row>
    <row r="636" spans="1:8">
      <c r="A636" s="170"/>
      <c r="B636" s="171"/>
      <c r="C636" s="171"/>
      <c r="D636" s="171"/>
      <c r="E636" s="171"/>
      <c r="F636" s="171"/>
      <c r="G636" s="171"/>
      <c r="H636" s="171"/>
    </row>
    <row r="637" spans="1:8">
      <c r="A637" s="170"/>
      <c r="B637" s="171"/>
      <c r="C637" s="171"/>
      <c r="D637" s="171"/>
      <c r="E637" s="171"/>
      <c r="F637" s="171"/>
      <c r="G637" s="171"/>
      <c r="H637" s="171"/>
    </row>
    <row r="638" spans="1:8">
      <c r="A638" s="170"/>
      <c r="B638" s="171"/>
      <c r="C638" s="171"/>
      <c r="D638" s="171"/>
      <c r="E638" s="171"/>
      <c r="F638" s="171"/>
      <c r="G638" s="171"/>
      <c r="H638" s="171"/>
    </row>
    <row r="639" spans="1:8">
      <c r="A639" s="170"/>
      <c r="B639" s="171"/>
      <c r="C639" s="171"/>
      <c r="D639" s="171"/>
      <c r="E639" s="171"/>
      <c r="F639" s="171"/>
      <c r="G639" s="171"/>
      <c r="H639" s="171"/>
    </row>
    <row r="640" spans="1:8">
      <c r="A640" s="170"/>
      <c r="B640" s="171"/>
      <c r="C640" s="171"/>
      <c r="D640" s="171"/>
      <c r="E640" s="171"/>
      <c r="F640" s="171"/>
      <c r="G640" s="171"/>
      <c r="H640" s="171"/>
    </row>
    <row r="641" spans="1:8">
      <c r="A641" s="170"/>
      <c r="B641" s="171"/>
      <c r="C641" s="171"/>
      <c r="D641" s="171"/>
      <c r="E641" s="171"/>
      <c r="F641" s="171"/>
      <c r="G641" s="171"/>
      <c r="H641" s="171"/>
    </row>
    <row r="642" spans="1:8">
      <c r="A642" s="170"/>
      <c r="B642" s="171"/>
      <c r="C642" s="171"/>
      <c r="D642" s="171"/>
      <c r="E642" s="171"/>
      <c r="F642" s="171"/>
      <c r="G642" s="171"/>
      <c r="H642" s="171"/>
    </row>
    <row r="643" spans="1:8">
      <c r="A643" s="170"/>
      <c r="B643" s="171"/>
      <c r="C643" s="171"/>
      <c r="D643" s="171"/>
      <c r="E643" s="171"/>
      <c r="F643" s="171"/>
      <c r="G643" s="171"/>
      <c r="H643" s="171"/>
    </row>
    <row r="644" spans="1:8">
      <c r="A644" s="170"/>
      <c r="B644" s="171"/>
      <c r="C644" s="171"/>
      <c r="D644" s="171"/>
      <c r="E644" s="171"/>
      <c r="F644" s="171"/>
      <c r="G644" s="171"/>
      <c r="H644" s="171"/>
    </row>
    <row r="645" spans="1:8">
      <c r="A645" s="170"/>
      <c r="B645" s="171"/>
      <c r="C645" s="171"/>
      <c r="D645" s="171"/>
      <c r="E645" s="171"/>
      <c r="F645" s="171"/>
      <c r="G645" s="171"/>
      <c r="H645" s="171"/>
    </row>
    <row r="646" spans="1:8">
      <c r="A646" s="170"/>
      <c r="B646" s="171"/>
      <c r="C646" s="171"/>
      <c r="D646" s="171"/>
      <c r="E646" s="171"/>
      <c r="F646" s="171"/>
      <c r="G646" s="171"/>
      <c r="H646" s="171"/>
    </row>
    <row r="647" spans="1:8">
      <c r="A647" s="170"/>
      <c r="B647" s="171"/>
      <c r="C647" s="171"/>
      <c r="D647" s="171"/>
      <c r="E647" s="171"/>
      <c r="F647" s="171"/>
      <c r="G647" s="171"/>
      <c r="H647" s="171"/>
    </row>
    <row r="648" spans="1:8">
      <c r="A648" s="170"/>
      <c r="B648" s="171"/>
      <c r="C648" s="171"/>
      <c r="D648" s="171"/>
      <c r="E648" s="171"/>
      <c r="F648" s="171"/>
      <c r="G648" s="171"/>
      <c r="H648" s="171"/>
    </row>
    <row r="649" spans="1:8">
      <c r="A649" s="170"/>
      <c r="B649" s="171"/>
      <c r="C649" s="171"/>
      <c r="D649" s="171"/>
      <c r="E649" s="171"/>
      <c r="F649" s="171"/>
      <c r="G649" s="171"/>
      <c r="H649" s="171"/>
    </row>
    <row r="650" spans="1:8">
      <c r="A650" s="170"/>
      <c r="B650" s="171"/>
      <c r="C650" s="171"/>
      <c r="D650" s="171"/>
      <c r="E650" s="171"/>
      <c r="F650" s="171"/>
      <c r="G650" s="171"/>
      <c r="H650" s="171"/>
    </row>
    <row r="651" spans="1:8">
      <c r="A651" s="170"/>
      <c r="B651" s="171"/>
      <c r="C651" s="171"/>
      <c r="D651" s="171"/>
      <c r="E651" s="171"/>
      <c r="F651" s="171"/>
      <c r="G651" s="171"/>
      <c r="H651" s="171"/>
    </row>
    <row r="652" spans="1:8">
      <c r="A652" s="170"/>
      <c r="B652" s="171"/>
      <c r="C652" s="171"/>
      <c r="D652" s="171"/>
      <c r="E652" s="171"/>
      <c r="F652" s="171"/>
      <c r="G652" s="171"/>
      <c r="H652" s="171"/>
    </row>
    <row r="653" spans="1:8">
      <c r="A653" s="170"/>
      <c r="B653" s="171"/>
      <c r="C653" s="171"/>
      <c r="D653" s="171"/>
      <c r="E653" s="171"/>
      <c r="F653" s="171"/>
      <c r="G653" s="171"/>
      <c r="H653" s="171"/>
    </row>
    <row r="654" spans="1:8">
      <c r="A654" s="170"/>
      <c r="B654" s="171"/>
      <c r="C654" s="171"/>
      <c r="D654" s="171"/>
      <c r="E654" s="171"/>
      <c r="F654" s="171"/>
      <c r="G654" s="171"/>
      <c r="H654" s="171"/>
    </row>
    <row r="655" spans="1:8">
      <c r="A655" s="170"/>
      <c r="B655" s="171"/>
      <c r="C655" s="171"/>
      <c r="D655" s="171"/>
      <c r="E655" s="171"/>
      <c r="F655" s="171"/>
      <c r="G655" s="171"/>
      <c r="H655" s="171"/>
    </row>
    <row r="656" spans="1:8">
      <c r="A656" s="170"/>
      <c r="B656" s="171"/>
      <c r="C656" s="171"/>
      <c r="D656" s="171"/>
      <c r="E656" s="171"/>
      <c r="F656" s="171"/>
      <c r="G656" s="171"/>
      <c r="H656" s="171"/>
    </row>
    <row r="657" spans="1:8">
      <c r="A657" s="170"/>
      <c r="B657" s="171"/>
      <c r="C657" s="171"/>
      <c r="D657" s="171"/>
      <c r="E657" s="171"/>
      <c r="F657" s="171"/>
      <c r="G657" s="171"/>
      <c r="H657" s="171"/>
    </row>
    <row r="658" spans="1:8">
      <c r="A658" s="170"/>
      <c r="B658" s="171"/>
      <c r="C658" s="171"/>
      <c r="D658" s="171"/>
      <c r="E658" s="171"/>
      <c r="F658" s="171"/>
      <c r="G658" s="171"/>
      <c r="H658" s="171"/>
    </row>
    <row r="659" spans="1:8">
      <c r="A659" s="170"/>
      <c r="B659" s="171"/>
      <c r="C659" s="171"/>
      <c r="D659" s="171"/>
      <c r="E659" s="171"/>
      <c r="F659" s="171"/>
      <c r="G659" s="171"/>
      <c r="H659" s="171"/>
    </row>
    <row r="660" spans="1:8">
      <c r="A660" s="170"/>
      <c r="B660" s="171"/>
      <c r="C660" s="171"/>
      <c r="D660" s="171"/>
      <c r="E660" s="171"/>
      <c r="F660" s="171"/>
      <c r="G660" s="171"/>
      <c r="H660" s="171"/>
    </row>
    <row r="661" spans="1:8">
      <c r="A661" s="170"/>
      <c r="B661" s="171"/>
      <c r="C661" s="171"/>
      <c r="D661" s="171"/>
      <c r="E661" s="171"/>
      <c r="F661" s="171"/>
      <c r="G661" s="171"/>
      <c r="H661" s="171"/>
    </row>
    <row r="662" spans="1:8">
      <c r="A662" s="170"/>
      <c r="B662" s="171"/>
      <c r="C662" s="171"/>
      <c r="D662" s="171"/>
      <c r="E662" s="171"/>
      <c r="F662" s="171"/>
      <c r="G662" s="171"/>
      <c r="H662" s="171"/>
    </row>
    <row r="663" spans="1:8">
      <c r="A663" s="170"/>
      <c r="B663" s="171"/>
      <c r="C663" s="171"/>
      <c r="D663" s="171"/>
      <c r="E663" s="171"/>
      <c r="F663" s="171"/>
      <c r="G663" s="171"/>
      <c r="H663" s="171"/>
    </row>
    <row r="664" spans="1:8">
      <c r="A664" s="170"/>
      <c r="B664" s="171"/>
      <c r="C664" s="171"/>
      <c r="D664" s="171"/>
      <c r="E664" s="171"/>
      <c r="F664" s="171"/>
      <c r="G664" s="171"/>
      <c r="H664" s="171"/>
    </row>
    <row r="665" spans="1:8">
      <c r="A665" s="170"/>
      <c r="B665" s="171"/>
      <c r="C665" s="171"/>
      <c r="D665" s="171"/>
      <c r="E665" s="171"/>
      <c r="F665" s="171"/>
      <c r="G665" s="171"/>
      <c r="H665" s="171"/>
    </row>
    <row r="666" spans="1:8">
      <c r="A666" s="170"/>
      <c r="B666" s="171"/>
      <c r="C666" s="171"/>
      <c r="D666" s="171"/>
      <c r="E666" s="171"/>
      <c r="F666" s="171"/>
      <c r="G666" s="171"/>
      <c r="H666" s="171"/>
    </row>
    <row r="667" spans="1:8">
      <c r="A667" s="170"/>
      <c r="B667" s="171"/>
      <c r="C667" s="171"/>
      <c r="D667" s="171"/>
      <c r="E667" s="171"/>
      <c r="F667" s="171"/>
      <c r="G667" s="171"/>
      <c r="H667" s="171"/>
    </row>
    <row r="668" spans="1:8">
      <c r="A668" s="170"/>
      <c r="B668" s="171"/>
      <c r="C668" s="171"/>
      <c r="D668" s="171"/>
      <c r="E668" s="171"/>
      <c r="F668" s="171"/>
      <c r="G668" s="171"/>
      <c r="H668" s="171"/>
    </row>
    <row r="669" spans="1:8">
      <c r="A669" s="170"/>
      <c r="B669" s="171"/>
      <c r="C669" s="171"/>
      <c r="D669" s="171"/>
      <c r="E669" s="171"/>
      <c r="F669" s="171"/>
      <c r="G669" s="171"/>
      <c r="H669" s="171"/>
    </row>
    <row r="670" spans="1:8">
      <c r="A670" s="170"/>
      <c r="B670" s="171"/>
      <c r="C670" s="171"/>
      <c r="D670" s="171"/>
      <c r="E670" s="171"/>
      <c r="F670" s="171"/>
      <c r="G670" s="171"/>
      <c r="H670" s="171"/>
    </row>
    <row r="671" spans="1:8">
      <c r="A671" s="170"/>
      <c r="B671" s="171"/>
      <c r="C671" s="171"/>
      <c r="D671" s="171"/>
      <c r="E671" s="171"/>
      <c r="F671" s="171"/>
      <c r="G671" s="171"/>
      <c r="H671" s="171"/>
    </row>
    <row r="672" spans="1:8">
      <c r="A672" s="170"/>
      <c r="B672" s="171"/>
      <c r="C672" s="171"/>
      <c r="D672" s="171"/>
      <c r="E672" s="171"/>
      <c r="F672" s="171"/>
      <c r="G672" s="171"/>
      <c r="H672" s="171"/>
    </row>
    <row r="673" spans="1:8">
      <c r="A673" s="170"/>
      <c r="B673" s="171"/>
      <c r="C673" s="171"/>
      <c r="D673" s="171"/>
      <c r="E673" s="171"/>
      <c r="F673" s="171"/>
      <c r="G673" s="171"/>
      <c r="H673" s="171"/>
    </row>
    <row r="674" spans="1:8">
      <c r="A674" s="170"/>
      <c r="B674" s="171"/>
      <c r="C674" s="171"/>
      <c r="D674" s="171"/>
      <c r="E674" s="171"/>
      <c r="F674" s="171"/>
      <c r="G674" s="171"/>
      <c r="H674" s="171"/>
    </row>
    <row r="675" spans="1:8">
      <c r="A675" s="170"/>
      <c r="B675" s="171"/>
      <c r="C675" s="171"/>
      <c r="D675" s="171"/>
      <c r="E675" s="171"/>
      <c r="F675" s="171"/>
      <c r="G675" s="171"/>
      <c r="H675" s="171"/>
    </row>
    <row r="676" spans="1:8">
      <c r="A676" s="170"/>
      <c r="B676" s="171"/>
      <c r="C676" s="171"/>
      <c r="D676" s="171"/>
      <c r="E676" s="171"/>
      <c r="F676" s="171"/>
      <c r="G676" s="171"/>
      <c r="H676" s="171"/>
    </row>
    <row r="677" spans="1:8">
      <c r="A677" s="170"/>
      <c r="B677" s="171"/>
      <c r="C677" s="171"/>
      <c r="D677" s="171"/>
      <c r="E677" s="171"/>
      <c r="F677" s="171"/>
      <c r="G677" s="171"/>
      <c r="H677" s="171"/>
    </row>
    <row r="678" spans="1:8">
      <c r="A678" s="170"/>
      <c r="B678" s="171"/>
      <c r="C678" s="171"/>
      <c r="D678" s="171"/>
      <c r="E678" s="171"/>
      <c r="F678" s="171"/>
      <c r="G678" s="171"/>
      <c r="H678" s="171"/>
    </row>
    <row r="679" spans="1:8">
      <c r="A679" s="170"/>
      <c r="B679" s="171"/>
      <c r="C679" s="171"/>
      <c r="D679" s="171"/>
      <c r="E679" s="171"/>
      <c r="F679" s="171"/>
      <c r="G679" s="171"/>
      <c r="H679" s="171"/>
    </row>
    <row r="680" spans="1:8">
      <c r="A680" s="170"/>
      <c r="B680" s="171"/>
      <c r="C680" s="171"/>
      <c r="D680" s="171"/>
      <c r="E680" s="171"/>
      <c r="F680" s="171"/>
      <c r="G680" s="171"/>
      <c r="H680" s="171"/>
    </row>
    <row r="681" spans="1:8">
      <c r="A681" s="170"/>
      <c r="B681" s="171"/>
      <c r="C681" s="171"/>
      <c r="D681" s="171"/>
      <c r="E681" s="171"/>
      <c r="F681" s="171"/>
      <c r="G681" s="171"/>
      <c r="H681" s="171"/>
    </row>
    <row r="682" spans="1:8">
      <c r="A682" s="170"/>
      <c r="B682" s="171"/>
      <c r="C682" s="171"/>
      <c r="D682" s="171"/>
      <c r="E682" s="171"/>
      <c r="F682" s="171"/>
      <c r="G682" s="171"/>
      <c r="H682" s="171"/>
    </row>
    <row r="683" spans="1:8">
      <c r="A683" s="170"/>
      <c r="B683" s="171"/>
      <c r="C683" s="171"/>
      <c r="D683" s="171"/>
      <c r="E683" s="171"/>
      <c r="F683" s="171"/>
      <c r="G683" s="171"/>
      <c r="H683" s="171"/>
    </row>
    <row r="684" spans="1:8">
      <c r="A684" s="170"/>
      <c r="B684" s="171"/>
      <c r="C684" s="171"/>
      <c r="D684" s="171"/>
      <c r="E684" s="171"/>
      <c r="F684" s="171"/>
      <c r="G684" s="171"/>
      <c r="H684" s="171"/>
    </row>
    <row r="685" spans="1:8">
      <c r="A685" s="170"/>
      <c r="B685" s="171"/>
      <c r="C685" s="171"/>
      <c r="D685" s="171"/>
      <c r="E685" s="171"/>
      <c r="F685" s="171"/>
      <c r="G685" s="171"/>
      <c r="H685" s="171"/>
    </row>
    <row r="686" spans="1:8">
      <c r="A686" s="170"/>
      <c r="B686" s="171"/>
      <c r="C686" s="171"/>
      <c r="D686" s="171"/>
      <c r="E686" s="171"/>
      <c r="F686" s="171"/>
      <c r="G686" s="171"/>
      <c r="H686" s="171"/>
    </row>
    <row r="687" spans="1:8">
      <c r="A687" s="170"/>
      <c r="B687" s="171"/>
      <c r="C687" s="171"/>
      <c r="D687" s="171"/>
      <c r="E687" s="171"/>
      <c r="F687" s="171"/>
      <c r="G687" s="171"/>
      <c r="H687" s="171"/>
    </row>
    <row r="688" spans="1:8">
      <c r="A688" s="170"/>
      <c r="B688" s="171"/>
      <c r="C688" s="171"/>
      <c r="D688" s="171"/>
      <c r="E688" s="171"/>
      <c r="F688" s="171"/>
      <c r="G688" s="171"/>
      <c r="H688" s="171"/>
    </row>
    <row r="689" spans="1:8">
      <c r="A689" s="170"/>
      <c r="B689" s="171"/>
      <c r="C689" s="171"/>
      <c r="D689" s="171"/>
      <c r="E689" s="171"/>
      <c r="F689" s="171"/>
      <c r="G689" s="171"/>
      <c r="H689" s="171"/>
    </row>
    <row r="690" spans="1:8">
      <c r="A690" s="170"/>
      <c r="B690" s="171"/>
      <c r="C690" s="171"/>
      <c r="D690" s="171"/>
      <c r="E690" s="171"/>
      <c r="F690" s="171"/>
      <c r="G690" s="171"/>
      <c r="H690" s="171"/>
    </row>
    <row r="691" spans="1:8">
      <c r="A691" s="170"/>
      <c r="B691" s="171"/>
      <c r="C691" s="171"/>
      <c r="D691" s="171"/>
      <c r="E691" s="171"/>
      <c r="F691" s="171"/>
      <c r="G691" s="171"/>
      <c r="H691" s="171"/>
    </row>
    <row r="692" spans="1:8">
      <c r="A692" s="170"/>
      <c r="B692" s="171"/>
      <c r="C692" s="171"/>
      <c r="D692" s="171"/>
      <c r="E692" s="171"/>
      <c r="F692" s="171"/>
      <c r="G692" s="171"/>
      <c r="H692" s="171"/>
    </row>
    <row r="693" spans="1:8">
      <c r="A693" s="170"/>
      <c r="B693" s="171"/>
      <c r="C693" s="171"/>
      <c r="D693" s="171"/>
      <c r="E693" s="171"/>
      <c r="F693" s="171"/>
      <c r="G693" s="171"/>
      <c r="H693" s="171"/>
    </row>
    <row r="694" spans="1:8">
      <c r="A694" s="170"/>
      <c r="B694" s="171"/>
      <c r="C694" s="171"/>
      <c r="D694" s="171"/>
      <c r="E694" s="171"/>
      <c r="F694" s="171"/>
      <c r="G694" s="171"/>
      <c r="H694" s="171"/>
    </row>
    <row r="695" spans="1:8">
      <c r="A695" s="170"/>
      <c r="B695" s="171"/>
      <c r="C695" s="171"/>
      <c r="D695" s="171"/>
      <c r="E695" s="171"/>
      <c r="F695" s="171"/>
      <c r="G695" s="171"/>
      <c r="H695" s="171"/>
    </row>
    <row r="696" spans="1:8">
      <c r="A696" s="170"/>
      <c r="B696" s="171"/>
      <c r="C696" s="171"/>
      <c r="D696" s="171"/>
      <c r="E696" s="171"/>
      <c r="F696" s="171"/>
      <c r="G696" s="171"/>
      <c r="H696" s="171"/>
    </row>
    <row r="697" spans="1:8">
      <c r="A697" s="170"/>
      <c r="B697" s="171"/>
      <c r="C697" s="171"/>
      <c r="D697" s="171"/>
      <c r="E697" s="171"/>
      <c r="F697" s="171"/>
      <c r="G697" s="171"/>
      <c r="H697" s="171"/>
    </row>
    <row r="698" spans="1:8">
      <c r="A698" s="170"/>
      <c r="B698" s="171"/>
      <c r="C698" s="171"/>
      <c r="D698" s="171"/>
      <c r="E698" s="171"/>
      <c r="F698" s="171"/>
      <c r="G698" s="171"/>
      <c r="H698" s="171"/>
    </row>
    <row r="699" spans="1:8">
      <c r="A699" s="170"/>
      <c r="B699" s="171"/>
      <c r="C699" s="171"/>
      <c r="D699" s="171"/>
      <c r="E699" s="171"/>
      <c r="F699" s="171"/>
      <c r="G699" s="171"/>
      <c r="H699" s="171"/>
    </row>
    <row r="700" spans="1:8">
      <c r="A700" s="170"/>
      <c r="B700" s="171"/>
      <c r="C700" s="171"/>
      <c r="D700" s="171"/>
      <c r="E700" s="171"/>
      <c r="F700" s="171"/>
      <c r="G700" s="171"/>
      <c r="H700" s="171"/>
    </row>
    <row r="701" spans="1:8">
      <c r="A701" s="170"/>
      <c r="B701" s="171"/>
      <c r="C701" s="171"/>
      <c r="D701" s="171"/>
      <c r="E701" s="171"/>
      <c r="F701" s="171"/>
      <c r="G701" s="171"/>
      <c r="H701" s="171"/>
    </row>
    <row r="702" spans="1:8">
      <c r="A702" s="170"/>
      <c r="B702" s="171"/>
      <c r="C702" s="171"/>
      <c r="D702" s="171"/>
      <c r="E702" s="171"/>
      <c r="F702" s="171"/>
      <c r="G702" s="171"/>
      <c r="H702" s="171"/>
    </row>
    <row r="703" spans="1:8">
      <c r="A703" s="170"/>
      <c r="B703" s="171"/>
      <c r="C703" s="171"/>
      <c r="D703" s="171"/>
      <c r="E703" s="171"/>
      <c r="F703" s="171"/>
      <c r="G703" s="171"/>
      <c r="H703" s="171"/>
    </row>
    <row r="704" spans="1:8">
      <c r="A704" s="170"/>
      <c r="B704" s="171"/>
      <c r="C704" s="171"/>
      <c r="D704" s="171"/>
      <c r="E704" s="171"/>
      <c r="F704" s="171"/>
      <c r="G704" s="171"/>
      <c r="H704" s="171"/>
    </row>
    <row r="705" spans="1:8">
      <c r="A705" s="170"/>
      <c r="B705" s="171"/>
      <c r="C705" s="171"/>
      <c r="D705" s="171"/>
      <c r="E705" s="171"/>
      <c r="F705" s="171"/>
      <c r="G705" s="171"/>
      <c r="H705" s="171"/>
    </row>
    <row r="706" spans="1:8">
      <c r="A706" s="170"/>
      <c r="B706" s="171"/>
      <c r="C706" s="171"/>
      <c r="D706" s="171"/>
      <c r="E706" s="171"/>
      <c r="F706" s="171"/>
      <c r="G706" s="171"/>
      <c r="H706" s="171"/>
    </row>
    <row r="707" spans="1:8">
      <c r="A707" s="170"/>
      <c r="B707" s="171"/>
      <c r="C707" s="171"/>
      <c r="D707" s="171"/>
      <c r="E707" s="171"/>
      <c r="F707" s="171"/>
      <c r="G707" s="171"/>
      <c r="H707" s="171"/>
    </row>
    <row r="708" spans="1:8">
      <c r="A708" s="170"/>
      <c r="B708" s="171"/>
      <c r="C708" s="171"/>
      <c r="D708" s="171"/>
      <c r="E708" s="171"/>
      <c r="F708" s="171"/>
      <c r="G708" s="171"/>
      <c r="H708" s="171"/>
    </row>
    <row r="709" spans="1:8">
      <c r="A709" s="170"/>
      <c r="B709" s="171"/>
      <c r="C709" s="171"/>
      <c r="D709" s="171"/>
      <c r="E709" s="171"/>
      <c r="F709" s="171"/>
      <c r="G709" s="171"/>
      <c r="H709" s="171"/>
    </row>
    <row r="710" spans="1:8">
      <c r="A710" s="170"/>
      <c r="B710" s="171"/>
      <c r="C710" s="171"/>
      <c r="D710" s="171"/>
      <c r="E710" s="171"/>
      <c r="F710" s="171"/>
      <c r="G710" s="171"/>
      <c r="H710" s="171"/>
    </row>
    <row r="711" spans="1:8">
      <c r="A711" s="170"/>
      <c r="B711" s="171"/>
      <c r="C711" s="171"/>
      <c r="D711" s="171"/>
      <c r="E711" s="171"/>
      <c r="F711" s="171"/>
      <c r="G711" s="171"/>
      <c r="H711" s="171"/>
    </row>
    <row r="712" spans="1:8">
      <c r="A712" s="170"/>
      <c r="B712" s="171"/>
      <c r="C712" s="171"/>
      <c r="D712" s="171"/>
      <c r="E712" s="171"/>
      <c r="F712" s="171"/>
      <c r="G712" s="171"/>
      <c r="H712" s="171"/>
    </row>
    <row r="713" spans="1:8">
      <c r="A713" s="170"/>
      <c r="B713" s="171"/>
      <c r="C713" s="171"/>
      <c r="D713" s="171"/>
      <c r="E713" s="171"/>
      <c r="F713" s="171"/>
      <c r="G713" s="171"/>
      <c r="H713" s="171"/>
    </row>
    <row r="714" spans="1:8">
      <c r="A714" s="170"/>
      <c r="B714" s="171"/>
      <c r="C714" s="171"/>
      <c r="D714" s="171"/>
      <c r="E714" s="171"/>
      <c r="F714" s="171"/>
      <c r="G714" s="171"/>
      <c r="H714" s="171"/>
    </row>
    <row r="715" spans="1:8">
      <c r="A715" s="170"/>
      <c r="B715" s="171"/>
      <c r="C715" s="171"/>
      <c r="D715" s="171"/>
      <c r="E715" s="171"/>
      <c r="F715" s="171"/>
      <c r="G715" s="171"/>
      <c r="H715" s="171"/>
    </row>
    <row r="716" spans="1:8">
      <c r="A716" s="170"/>
      <c r="B716" s="171"/>
      <c r="C716" s="171"/>
      <c r="D716" s="171"/>
      <c r="E716" s="171"/>
      <c r="F716" s="171"/>
      <c r="G716" s="171"/>
      <c r="H716" s="171"/>
    </row>
    <row r="717" spans="1:8">
      <c r="A717" s="170"/>
      <c r="B717" s="171"/>
      <c r="C717" s="171"/>
      <c r="D717" s="171"/>
      <c r="E717" s="171"/>
      <c r="F717" s="171"/>
      <c r="G717" s="171"/>
      <c r="H717" s="171"/>
    </row>
    <row r="718" spans="1:8">
      <c r="A718" s="170"/>
      <c r="B718" s="171"/>
      <c r="C718" s="171"/>
      <c r="D718" s="171"/>
      <c r="E718" s="171"/>
      <c r="F718" s="171"/>
      <c r="G718" s="171"/>
      <c r="H718" s="171"/>
    </row>
    <row r="719" spans="1:8">
      <c r="A719" s="170"/>
      <c r="B719" s="171"/>
      <c r="C719" s="171"/>
      <c r="D719" s="171"/>
      <c r="E719" s="171"/>
      <c r="F719" s="171"/>
      <c r="G719" s="171"/>
      <c r="H719" s="171"/>
    </row>
    <row r="720" spans="1:8">
      <c r="A720" s="170"/>
      <c r="B720" s="171"/>
      <c r="C720" s="171"/>
      <c r="D720" s="171"/>
      <c r="E720" s="171"/>
      <c r="F720" s="171"/>
      <c r="G720" s="171"/>
      <c r="H720" s="171"/>
    </row>
    <row r="721" spans="1:8">
      <c r="A721" s="170"/>
      <c r="B721" s="171"/>
      <c r="C721" s="171"/>
      <c r="D721" s="171"/>
      <c r="E721" s="171"/>
      <c r="F721" s="171"/>
      <c r="G721" s="171"/>
      <c r="H721" s="171"/>
    </row>
    <row r="722" spans="1:8">
      <c r="A722" s="170"/>
      <c r="B722" s="171"/>
      <c r="C722" s="171"/>
      <c r="D722" s="171"/>
      <c r="E722" s="171"/>
      <c r="F722" s="171"/>
      <c r="G722" s="171"/>
      <c r="H722" s="171"/>
    </row>
    <row r="723" spans="1:8">
      <c r="A723" s="170"/>
      <c r="B723" s="171"/>
      <c r="C723" s="171"/>
      <c r="D723" s="171"/>
      <c r="E723" s="171"/>
      <c r="F723" s="171"/>
      <c r="G723" s="171"/>
      <c r="H723" s="171"/>
    </row>
    <row r="724" spans="1:8">
      <c r="A724" s="170"/>
      <c r="B724" s="171"/>
      <c r="C724" s="171"/>
      <c r="D724" s="171"/>
      <c r="E724" s="171"/>
      <c r="F724" s="171"/>
      <c r="G724" s="171"/>
      <c r="H724" s="171"/>
    </row>
    <row r="725" spans="1:8">
      <c r="A725" s="170"/>
      <c r="B725" s="171"/>
      <c r="C725" s="171"/>
      <c r="D725" s="171"/>
      <c r="E725" s="171"/>
      <c r="F725" s="171"/>
      <c r="G725" s="171"/>
      <c r="H725" s="171"/>
    </row>
    <row r="726" spans="1:8">
      <c r="A726" s="170"/>
      <c r="B726" s="171"/>
      <c r="C726" s="171"/>
      <c r="D726" s="171"/>
      <c r="E726" s="171"/>
      <c r="F726" s="171"/>
      <c r="G726" s="171"/>
      <c r="H726" s="171"/>
    </row>
    <row r="727" spans="1:8">
      <c r="A727" s="170"/>
      <c r="B727" s="171"/>
      <c r="C727" s="171"/>
      <c r="D727" s="171"/>
      <c r="E727" s="171"/>
      <c r="F727" s="171"/>
      <c r="G727" s="171"/>
      <c r="H727" s="171"/>
    </row>
    <row r="728" spans="1:8">
      <c r="A728" s="170"/>
      <c r="B728" s="171"/>
      <c r="C728" s="171"/>
      <c r="D728" s="171"/>
      <c r="E728" s="171"/>
      <c r="F728" s="171"/>
      <c r="G728" s="171"/>
      <c r="H728" s="171"/>
    </row>
    <row r="729" spans="1:8">
      <c r="A729" s="170"/>
      <c r="B729" s="171"/>
      <c r="C729" s="171"/>
      <c r="D729" s="171"/>
      <c r="E729" s="171"/>
      <c r="F729" s="171"/>
      <c r="G729" s="171"/>
      <c r="H729" s="171"/>
    </row>
    <row r="730" spans="1:8">
      <c r="A730" s="170"/>
      <c r="B730" s="171"/>
      <c r="C730" s="171"/>
      <c r="D730" s="171"/>
      <c r="E730" s="171"/>
      <c r="F730" s="171"/>
      <c r="G730" s="171"/>
      <c r="H730" s="171"/>
    </row>
    <row r="731" spans="1:8">
      <c r="A731" s="170"/>
      <c r="B731" s="171"/>
      <c r="C731" s="171"/>
      <c r="D731" s="171"/>
      <c r="E731" s="171"/>
      <c r="F731" s="171"/>
      <c r="G731" s="171"/>
      <c r="H731" s="171"/>
    </row>
    <row r="732" spans="1:8">
      <c r="A732" s="170"/>
      <c r="B732" s="171"/>
      <c r="C732" s="171"/>
      <c r="D732" s="171"/>
      <c r="E732" s="171"/>
      <c r="F732" s="171"/>
      <c r="G732" s="171"/>
      <c r="H732" s="171"/>
    </row>
    <row r="733" spans="1:8">
      <c r="A733" s="170"/>
      <c r="B733" s="171"/>
      <c r="C733" s="171"/>
      <c r="D733" s="171"/>
      <c r="E733" s="171"/>
      <c r="F733" s="171"/>
      <c r="G733" s="171"/>
      <c r="H733" s="171"/>
    </row>
    <row r="734" spans="1:8">
      <c r="A734" s="170"/>
      <c r="B734" s="171"/>
      <c r="C734" s="171"/>
      <c r="D734" s="171"/>
      <c r="E734" s="171"/>
      <c r="F734" s="171"/>
      <c r="G734" s="171"/>
      <c r="H734" s="171"/>
    </row>
    <row r="735" spans="1:8">
      <c r="A735" s="170"/>
      <c r="B735" s="171"/>
      <c r="C735" s="171"/>
      <c r="D735" s="171"/>
      <c r="E735" s="171"/>
      <c r="F735" s="171"/>
      <c r="G735" s="171"/>
      <c r="H735" s="171"/>
    </row>
    <row r="736" spans="1:8">
      <c r="A736" s="170"/>
      <c r="B736" s="171"/>
      <c r="C736" s="171"/>
      <c r="D736" s="171"/>
      <c r="E736" s="171"/>
      <c r="F736" s="171"/>
      <c r="G736" s="171"/>
      <c r="H736" s="171"/>
    </row>
    <row r="737" spans="1:8">
      <c r="A737" s="170"/>
      <c r="B737" s="171"/>
      <c r="C737" s="171"/>
      <c r="D737" s="171"/>
      <c r="E737" s="171"/>
      <c r="F737" s="171"/>
      <c r="G737" s="171"/>
      <c r="H737" s="171"/>
    </row>
    <row r="738" spans="1:8">
      <c r="A738" s="170"/>
      <c r="B738" s="171"/>
      <c r="C738" s="171"/>
      <c r="D738" s="171"/>
      <c r="E738" s="171"/>
      <c r="F738" s="171"/>
      <c r="G738" s="171"/>
      <c r="H738" s="171"/>
    </row>
    <row r="739" spans="1:8">
      <c r="A739" s="170"/>
      <c r="B739" s="171"/>
      <c r="C739" s="171"/>
      <c r="D739" s="171"/>
      <c r="E739" s="171"/>
      <c r="F739" s="171"/>
      <c r="G739" s="171"/>
      <c r="H739" s="171"/>
    </row>
    <row r="740" spans="1:8">
      <c r="A740" s="170"/>
      <c r="B740" s="171"/>
      <c r="C740" s="171"/>
      <c r="D740" s="171"/>
      <c r="E740" s="171"/>
      <c r="F740" s="171"/>
      <c r="G740" s="171"/>
      <c r="H740" s="171"/>
    </row>
    <row r="741" spans="1:8">
      <c r="A741" s="170"/>
      <c r="B741" s="171"/>
      <c r="C741" s="171"/>
      <c r="D741" s="171"/>
      <c r="E741" s="171"/>
      <c r="F741" s="171"/>
      <c r="G741" s="171"/>
      <c r="H741" s="171"/>
    </row>
    <row r="742" spans="1:8">
      <c r="A742" s="170"/>
      <c r="B742" s="171"/>
      <c r="C742" s="171"/>
      <c r="D742" s="171"/>
      <c r="E742" s="171"/>
      <c r="F742" s="171"/>
      <c r="G742" s="171"/>
      <c r="H742" s="171"/>
    </row>
    <row r="743" spans="1:8">
      <c r="A743" s="170"/>
      <c r="B743" s="171"/>
      <c r="C743" s="171"/>
      <c r="D743" s="171"/>
      <c r="E743" s="171"/>
      <c r="F743" s="171"/>
      <c r="G743" s="171"/>
      <c r="H743" s="171"/>
    </row>
    <row r="744" spans="1:8">
      <c r="A744" s="170"/>
      <c r="B744" s="171"/>
      <c r="C744" s="171"/>
      <c r="D744" s="171"/>
      <c r="E744" s="171"/>
      <c r="F744" s="171"/>
      <c r="G744" s="171"/>
      <c r="H744" s="171"/>
    </row>
    <row r="745" spans="1:8">
      <c r="A745" s="170"/>
      <c r="B745" s="171"/>
      <c r="C745" s="171"/>
      <c r="D745" s="171"/>
      <c r="E745" s="171"/>
      <c r="F745" s="171"/>
      <c r="G745" s="171"/>
      <c r="H745" s="171"/>
    </row>
    <row r="746" spans="1:8">
      <c r="A746" s="170"/>
      <c r="B746" s="171"/>
      <c r="C746" s="171"/>
      <c r="D746" s="171"/>
      <c r="E746" s="171"/>
      <c r="F746" s="171"/>
      <c r="G746" s="171"/>
      <c r="H746" s="171"/>
    </row>
    <row r="747" spans="1:8">
      <c r="A747" s="170"/>
      <c r="B747" s="171"/>
      <c r="C747" s="171"/>
      <c r="D747" s="171"/>
      <c r="E747" s="171"/>
      <c r="F747" s="171"/>
      <c r="G747" s="171"/>
      <c r="H747" s="171"/>
    </row>
    <row r="748" spans="1:8">
      <c r="A748" s="170"/>
      <c r="B748" s="171"/>
      <c r="C748" s="171"/>
      <c r="D748" s="171"/>
      <c r="E748" s="171"/>
      <c r="F748" s="171"/>
      <c r="G748" s="171"/>
      <c r="H748" s="171"/>
    </row>
    <row r="749" spans="1:8">
      <c r="A749" s="170"/>
      <c r="B749" s="171"/>
      <c r="C749" s="171"/>
      <c r="D749" s="171"/>
      <c r="E749" s="171"/>
      <c r="F749" s="171"/>
      <c r="G749" s="171"/>
      <c r="H749" s="171"/>
    </row>
    <row r="750" spans="1:8">
      <c r="A750" s="170"/>
      <c r="B750" s="171"/>
      <c r="C750" s="171"/>
      <c r="D750" s="171"/>
      <c r="E750" s="171"/>
      <c r="F750" s="171"/>
      <c r="G750" s="171"/>
      <c r="H750" s="171"/>
    </row>
    <row r="751" spans="1:8">
      <c r="A751" s="170"/>
      <c r="B751" s="171"/>
      <c r="C751" s="171"/>
      <c r="D751" s="171"/>
      <c r="E751" s="171"/>
      <c r="F751" s="171"/>
      <c r="G751" s="171"/>
      <c r="H751" s="171"/>
    </row>
    <row r="752" spans="1:8">
      <c r="A752" s="170"/>
      <c r="B752" s="171"/>
      <c r="C752" s="171"/>
      <c r="D752" s="171"/>
      <c r="E752" s="171"/>
      <c r="F752" s="171"/>
      <c r="G752" s="171"/>
      <c r="H752" s="171"/>
    </row>
    <row r="753" spans="1:8">
      <c r="A753" s="170"/>
      <c r="B753" s="171"/>
      <c r="C753" s="171"/>
      <c r="D753" s="171"/>
      <c r="E753" s="171"/>
      <c r="F753" s="171"/>
      <c r="G753" s="171"/>
      <c r="H753" s="171"/>
    </row>
    <row r="754" spans="1:8">
      <c r="A754" s="170"/>
      <c r="B754" s="171"/>
      <c r="C754" s="171"/>
      <c r="D754" s="171"/>
      <c r="E754" s="171"/>
      <c r="F754" s="171"/>
      <c r="G754" s="171"/>
      <c r="H754" s="171"/>
    </row>
    <row r="755" spans="1:8">
      <c r="A755" s="170"/>
      <c r="B755" s="171"/>
      <c r="C755" s="171"/>
      <c r="D755" s="171"/>
      <c r="E755" s="171"/>
      <c r="F755" s="171"/>
      <c r="G755" s="171"/>
      <c r="H755" s="171"/>
    </row>
    <row r="756" spans="1:8">
      <c r="A756" s="170"/>
      <c r="B756" s="171"/>
      <c r="C756" s="171"/>
      <c r="D756" s="171"/>
      <c r="E756" s="171"/>
      <c r="F756" s="171"/>
      <c r="G756" s="171"/>
      <c r="H756" s="171"/>
    </row>
    <row r="757" spans="1:8">
      <c r="A757" s="170"/>
      <c r="B757" s="171"/>
      <c r="C757" s="171"/>
      <c r="D757" s="171"/>
      <c r="E757" s="171"/>
      <c r="F757" s="171"/>
      <c r="G757" s="171"/>
      <c r="H757" s="171"/>
    </row>
    <row r="758" spans="1:8">
      <c r="A758" s="170"/>
      <c r="B758" s="171"/>
      <c r="C758" s="171"/>
      <c r="D758" s="171"/>
      <c r="E758" s="171"/>
      <c r="F758" s="171"/>
      <c r="G758" s="171"/>
      <c r="H758" s="171"/>
    </row>
    <row r="759" spans="1:8">
      <c r="A759" s="170"/>
      <c r="B759" s="171"/>
      <c r="C759" s="171"/>
      <c r="D759" s="171"/>
      <c r="E759" s="171"/>
      <c r="F759" s="171"/>
      <c r="G759" s="171"/>
      <c r="H759" s="171"/>
    </row>
    <row r="760" spans="1:8">
      <c r="A760" s="170"/>
      <c r="B760" s="171"/>
      <c r="C760" s="171"/>
      <c r="D760" s="171"/>
      <c r="E760" s="171"/>
      <c r="F760" s="171"/>
      <c r="G760" s="171"/>
      <c r="H760" s="171"/>
    </row>
    <row r="761" spans="1:8">
      <c r="A761" s="170"/>
      <c r="B761" s="171"/>
      <c r="C761" s="171"/>
      <c r="D761" s="171"/>
      <c r="E761" s="171"/>
      <c r="F761" s="171"/>
      <c r="G761" s="171"/>
      <c r="H761" s="171"/>
    </row>
    <row r="762" spans="1:8">
      <c r="A762" s="170"/>
      <c r="B762" s="171"/>
      <c r="C762" s="171"/>
      <c r="D762" s="171"/>
      <c r="E762" s="171"/>
      <c r="F762" s="171"/>
      <c r="G762" s="171"/>
      <c r="H762" s="171"/>
    </row>
    <row r="763" spans="1:8">
      <c r="A763" s="170"/>
      <c r="B763" s="171"/>
      <c r="C763" s="171"/>
      <c r="D763" s="171"/>
      <c r="E763" s="171"/>
      <c r="F763" s="171"/>
      <c r="G763" s="171"/>
      <c r="H763" s="171"/>
    </row>
    <row r="764" spans="1:8">
      <c r="A764" s="170"/>
      <c r="B764" s="171"/>
      <c r="C764" s="171"/>
      <c r="D764" s="171"/>
      <c r="E764" s="171"/>
      <c r="F764" s="171"/>
      <c r="G764" s="171"/>
      <c r="H764" s="171"/>
    </row>
    <row r="765" spans="1:8">
      <c r="A765" s="170"/>
      <c r="B765" s="171"/>
      <c r="C765" s="171"/>
      <c r="D765" s="171"/>
      <c r="E765" s="171"/>
      <c r="F765" s="171"/>
      <c r="G765" s="171"/>
      <c r="H765" s="171"/>
    </row>
    <row r="766" spans="1:8">
      <c r="A766" s="170"/>
      <c r="B766" s="171"/>
      <c r="C766" s="171"/>
      <c r="D766" s="171"/>
      <c r="E766" s="171"/>
      <c r="F766" s="171"/>
      <c r="G766" s="171"/>
      <c r="H766" s="171"/>
    </row>
    <row r="767" spans="1:8">
      <c r="A767" s="170"/>
      <c r="B767" s="171"/>
      <c r="C767" s="171"/>
      <c r="D767" s="171"/>
      <c r="E767" s="171"/>
      <c r="F767" s="171"/>
      <c r="G767" s="171"/>
      <c r="H767" s="171"/>
    </row>
    <row r="768" spans="1:8">
      <c r="A768" s="170"/>
      <c r="B768" s="171"/>
      <c r="C768" s="171"/>
      <c r="D768" s="171"/>
      <c r="E768" s="171"/>
      <c r="F768" s="171"/>
      <c r="G768" s="171"/>
      <c r="H768" s="171"/>
    </row>
    <row r="769" spans="1:8">
      <c r="A769" s="170"/>
      <c r="B769" s="171"/>
      <c r="C769" s="171"/>
      <c r="D769" s="171"/>
      <c r="E769" s="171"/>
      <c r="F769" s="171"/>
      <c r="G769" s="171"/>
      <c r="H769" s="171"/>
    </row>
    <row r="770" spans="1:8">
      <c r="A770" s="170"/>
      <c r="B770" s="171"/>
      <c r="C770" s="171"/>
      <c r="D770" s="171"/>
      <c r="E770" s="171"/>
      <c r="F770" s="171"/>
      <c r="G770" s="171"/>
      <c r="H770" s="171"/>
    </row>
    <row r="771" spans="1:8">
      <c r="A771" s="170"/>
      <c r="B771" s="171"/>
      <c r="C771" s="171"/>
      <c r="D771" s="171"/>
      <c r="E771" s="171"/>
      <c r="F771" s="171"/>
      <c r="G771" s="171"/>
      <c r="H771" s="171"/>
    </row>
    <row r="772" spans="1:8">
      <c r="A772" s="170"/>
      <c r="B772" s="171"/>
      <c r="C772" s="171"/>
      <c r="D772" s="171"/>
      <c r="E772" s="171"/>
      <c r="F772" s="171"/>
      <c r="G772" s="171"/>
      <c r="H772" s="171"/>
    </row>
    <row r="773" spans="1:8">
      <c r="A773" s="170"/>
      <c r="B773" s="171"/>
      <c r="C773" s="171"/>
      <c r="D773" s="171"/>
      <c r="E773" s="171"/>
      <c r="F773" s="171"/>
      <c r="G773" s="171"/>
      <c r="H773" s="171"/>
    </row>
    <row r="774" spans="1:8">
      <c r="A774" s="170"/>
      <c r="B774" s="171"/>
      <c r="C774" s="171"/>
      <c r="D774" s="171"/>
      <c r="E774" s="171"/>
      <c r="F774" s="171"/>
      <c r="G774" s="171"/>
      <c r="H774" s="171"/>
    </row>
    <row r="775" spans="1:8">
      <c r="A775" s="170"/>
      <c r="B775" s="171"/>
      <c r="C775" s="171"/>
      <c r="D775" s="171"/>
      <c r="E775" s="171"/>
      <c r="F775" s="171"/>
      <c r="G775" s="171"/>
      <c r="H775" s="171"/>
    </row>
    <row r="776" spans="1:8">
      <c r="A776" s="170"/>
      <c r="B776" s="171"/>
      <c r="C776" s="171"/>
      <c r="D776" s="171"/>
      <c r="E776" s="171"/>
      <c r="F776" s="171"/>
      <c r="G776" s="171"/>
      <c r="H776" s="171"/>
    </row>
    <row r="777" spans="1:8">
      <c r="A777" s="170"/>
      <c r="B777" s="171"/>
      <c r="C777" s="171"/>
      <c r="D777" s="171"/>
      <c r="E777" s="171"/>
      <c r="F777" s="171"/>
      <c r="G777" s="171"/>
      <c r="H777" s="171"/>
    </row>
    <row r="778" spans="1:8">
      <c r="A778" s="170"/>
      <c r="B778" s="171"/>
      <c r="C778" s="171"/>
      <c r="D778" s="171"/>
      <c r="E778" s="171"/>
      <c r="F778" s="171"/>
      <c r="G778" s="171"/>
      <c r="H778" s="171"/>
    </row>
    <row r="779" spans="1:8">
      <c r="A779" s="170"/>
      <c r="B779" s="171"/>
      <c r="C779" s="171"/>
      <c r="D779" s="171"/>
      <c r="E779" s="171"/>
      <c r="F779" s="171"/>
      <c r="G779" s="171"/>
      <c r="H779" s="171"/>
    </row>
    <row r="780" spans="1:8">
      <c r="A780" s="170"/>
      <c r="B780" s="171"/>
      <c r="C780" s="171"/>
      <c r="D780" s="171"/>
      <c r="E780" s="171"/>
      <c r="F780" s="171"/>
      <c r="G780" s="171"/>
      <c r="H780" s="171"/>
    </row>
    <row r="781" spans="1:8">
      <c r="A781" s="170"/>
      <c r="B781" s="171"/>
      <c r="C781" s="171"/>
      <c r="D781" s="171"/>
      <c r="E781" s="171"/>
      <c r="F781" s="171"/>
      <c r="G781" s="171"/>
      <c r="H781" s="171"/>
    </row>
    <row r="782" spans="1:8">
      <c r="A782" s="170"/>
      <c r="B782" s="171"/>
      <c r="C782" s="171"/>
      <c r="D782" s="171"/>
      <c r="E782" s="171"/>
      <c r="F782" s="171"/>
      <c r="G782" s="171"/>
      <c r="H782" s="171"/>
    </row>
    <row r="783" spans="1:8">
      <c r="A783" s="170"/>
      <c r="B783" s="171"/>
      <c r="C783" s="171"/>
      <c r="D783" s="171"/>
      <c r="E783" s="171"/>
      <c r="F783" s="171"/>
      <c r="G783" s="171"/>
      <c r="H783" s="171"/>
    </row>
    <row r="784" spans="1:8">
      <c r="A784" s="170"/>
      <c r="B784" s="171"/>
      <c r="C784" s="171"/>
      <c r="D784" s="171"/>
      <c r="E784" s="171"/>
      <c r="F784" s="171"/>
      <c r="G784" s="171"/>
      <c r="H784" s="171"/>
    </row>
    <row r="785" spans="1:8">
      <c r="A785" s="170"/>
      <c r="B785" s="171"/>
      <c r="C785" s="171"/>
      <c r="D785" s="171"/>
      <c r="E785" s="171"/>
      <c r="F785" s="171"/>
      <c r="G785" s="171"/>
      <c r="H785" s="171"/>
    </row>
    <row r="786" spans="1:8">
      <c r="A786" s="170"/>
      <c r="B786" s="171"/>
      <c r="C786" s="171"/>
      <c r="D786" s="171"/>
      <c r="E786" s="171"/>
      <c r="F786" s="171"/>
      <c r="G786" s="171"/>
      <c r="H786" s="171"/>
    </row>
    <row r="787" spans="1:8">
      <c r="A787" s="170"/>
      <c r="B787" s="171"/>
      <c r="C787" s="171"/>
      <c r="D787" s="171"/>
      <c r="E787" s="171"/>
      <c r="F787" s="171"/>
      <c r="G787" s="171"/>
      <c r="H787" s="171"/>
    </row>
    <row r="788" spans="1:8">
      <c r="A788" s="170"/>
      <c r="B788" s="171"/>
      <c r="C788" s="171"/>
      <c r="D788" s="171"/>
      <c r="E788" s="171"/>
      <c r="F788" s="171"/>
      <c r="G788" s="171"/>
      <c r="H788" s="171"/>
    </row>
    <row r="789" spans="1:8">
      <c r="A789" s="170"/>
      <c r="B789" s="171"/>
      <c r="C789" s="171"/>
      <c r="D789" s="171"/>
      <c r="E789" s="171"/>
      <c r="F789" s="171"/>
      <c r="G789" s="171"/>
      <c r="H789" s="171"/>
    </row>
    <row r="790" spans="1:8">
      <c r="A790" s="170"/>
      <c r="B790" s="171"/>
      <c r="C790" s="171"/>
      <c r="D790" s="171"/>
      <c r="E790" s="171"/>
      <c r="F790" s="171"/>
      <c r="G790" s="171"/>
      <c r="H790" s="171"/>
    </row>
    <row r="791" spans="1:8">
      <c r="A791" s="170"/>
      <c r="B791" s="171"/>
      <c r="C791" s="171"/>
      <c r="D791" s="171"/>
      <c r="E791" s="171"/>
      <c r="F791" s="171"/>
      <c r="G791" s="171"/>
      <c r="H791" s="171"/>
    </row>
    <row r="792" spans="1:8">
      <c r="A792" s="170"/>
      <c r="B792" s="171"/>
      <c r="C792" s="171"/>
      <c r="D792" s="171"/>
      <c r="E792" s="171"/>
      <c r="F792" s="171"/>
      <c r="G792" s="171"/>
      <c r="H792" s="171"/>
    </row>
    <row r="793" spans="1:8">
      <c r="A793" s="170"/>
      <c r="B793" s="171"/>
      <c r="C793" s="171"/>
      <c r="D793" s="171"/>
      <c r="E793" s="171"/>
      <c r="F793" s="171"/>
      <c r="G793" s="171"/>
      <c r="H793" s="171"/>
    </row>
    <row r="794" spans="1:8">
      <c r="A794" s="170"/>
      <c r="B794" s="171"/>
      <c r="C794" s="171"/>
      <c r="D794" s="171"/>
      <c r="E794" s="171"/>
      <c r="F794" s="171"/>
      <c r="G794" s="171"/>
      <c r="H794" s="171"/>
    </row>
    <row r="795" spans="1:8">
      <c r="A795" s="170"/>
      <c r="B795" s="171"/>
      <c r="C795" s="171"/>
      <c r="D795" s="171"/>
      <c r="E795" s="171"/>
      <c r="F795" s="171"/>
      <c r="G795" s="171"/>
      <c r="H795" s="171"/>
    </row>
    <row r="796" spans="1:8">
      <c r="A796" s="170"/>
      <c r="B796" s="171"/>
      <c r="C796" s="171"/>
      <c r="D796" s="171"/>
      <c r="E796" s="171"/>
      <c r="F796" s="171"/>
      <c r="G796" s="171"/>
      <c r="H796" s="171"/>
    </row>
    <row r="797" spans="1:8">
      <c r="A797" s="170"/>
      <c r="B797" s="171"/>
      <c r="C797" s="171"/>
      <c r="D797" s="171"/>
      <c r="E797" s="171"/>
      <c r="F797" s="171"/>
      <c r="G797" s="171"/>
      <c r="H797" s="171"/>
    </row>
    <row r="798" spans="1:8">
      <c r="A798" s="170"/>
      <c r="B798" s="171"/>
      <c r="C798" s="171"/>
      <c r="D798" s="171"/>
      <c r="E798" s="171"/>
      <c r="F798" s="171"/>
      <c r="G798" s="171"/>
      <c r="H798" s="171"/>
    </row>
    <row r="799" spans="1:8">
      <c r="A799" s="170"/>
      <c r="B799" s="171"/>
      <c r="C799" s="171"/>
      <c r="D799" s="171"/>
      <c r="E799" s="171"/>
      <c r="F799" s="171"/>
      <c r="G799" s="171"/>
      <c r="H799" s="171"/>
    </row>
    <row r="800" spans="1:8">
      <c r="A800" s="170"/>
      <c r="B800" s="171"/>
      <c r="C800" s="171"/>
      <c r="D800" s="171"/>
      <c r="E800" s="171"/>
      <c r="F800" s="171"/>
      <c r="G800" s="171"/>
      <c r="H800" s="171"/>
    </row>
    <row r="801" spans="1:8">
      <c r="A801" s="170"/>
      <c r="B801" s="171"/>
      <c r="C801" s="171"/>
      <c r="D801" s="171"/>
      <c r="E801" s="171"/>
      <c r="F801" s="171"/>
      <c r="G801" s="171"/>
      <c r="H801" s="171"/>
    </row>
    <row r="802" spans="1:8">
      <c r="A802" s="170"/>
      <c r="B802" s="171"/>
      <c r="C802" s="171"/>
      <c r="D802" s="171"/>
      <c r="E802" s="171"/>
      <c r="F802" s="171"/>
      <c r="G802" s="171"/>
      <c r="H802" s="171"/>
    </row>
    <row r="803" spans="1:8">
      <c r="A803" s="170"/>
      <c r="B803" s="171"/>
      <c r="C803" s="171"/>
      <c r="D803" s="171"/>
      <c r="E803" s="171"/>
      <c r="F803" s="171"/>
      <c r="G803" s="171"/>
      <c r="H803" s="171"/>
    </row>
    <row r="804" spans="1:8">
      <c r="A804" s="170"/>
      <c r="B804" s="171"/>
      <c r="C804" s="171"/>
      <c r="D804" s="171"/>
      <c r="E804" s="171"/>
      <c r="F804" s="171"/>
      <c r="G804" s="171"/>
      <c r="H804" s="171"/>
    </row>
    <row r="805" spans="1:8">
      <c r="A805" s="170"/>
      <c r="B805" s="171"/>
      <c r="C805" s="171"/>
      <c r="D805" s="171"/>
      <c r="E805" s="171"/>
      <c r="F805" s="171"/>
      <c r="G805" s="171"/>
      <c r="H805" s="171"/>
    </row>
    <row r="806" spans="1:8">
      <c r="A806" s="170"/>
      <c r="B806" s="171"/>
      <c r="C806" s="171"/>
      <c r="D806" s="171"/>
      <c r="E806" s="171"/>
      <c r="F806" s="171"/>
      <c r="G806" s="171"/>
      <c r="H806" s="171"/>
    </row>
    <row r="807" spans="1:8">
      <c r="A807" s="170"/>
      <c r="B807" s="171"/>
      <c r="C807" s="171"/>
      <c r="D807" s="171"/>
      <c r="E807" s="171"/>
      <c r="F807" s="171"/>
      <c r="G807" s="171"/>
      <c r="H807" s="171"/>
    </row>
    <row r="808" spans="1:8">
      <c r="A808" s="170"/>
      <c r="B808" s="171"/>
      <c r="C808" s="171"/>
      <c r="D808" s="171"/>
      <c r="E808" s="171"/>
      <c r="F808" s="171"/>
      <c r="G808" s="171"/>
      <c r="H808" s="171"/>
    </row>
    <row r="809" spans="1:8">
      <c r="A809" s="170"/>
      <c r="B809" s="171"/>
      <c r="C809" s="171"/>
      <c r="D809" s="171"/>
      <c r="E809" s="171"/>
      <c r="F809" s="171"/>
      <c r="G809" s="171"/>
      <c r="H809" s="171"/>
    </row>
    <row r="810" spans="1:8">
      <c r="A810" s="170"/>
      <c r="B810" s="171"/>
      <c r="C810" s="171"/>
      <c r="D810" s="171"/>
      <c r="E810" s="171"/>
      <c r="F810" s="171"/>
      <c r="G810" s="171"/>
      <c r="H810" s="171"/>
    </row>
    <row r="811" spans="1:8">
      <c r="A811" s="170"/>
      <c r="B811" s="171"/>
      <c r="C811" s="171"/>
      <c r="D811" s="171"/>
      <c r="E811" s="171"/>
      <c r="F811" s="171"/>
      <c r="G811" s="171"/>
      <c r="H811" s="171"/>
    </row>
    <row r="812" spans="1:8">
      <c r="A812" s="170"/>
      <c r="B812" s="171"/>
      <c r="C812" s="171"/>
      <c r="D812" s="171"/>
      <c r="E812" s="171"/>
      <c r="F812" s="171"/>
      <c r="G812" s="171"/>
      <c r="H812" s="171"/>
    </row>
    <row r="813" spans="1:8">
      <c r="A813" s="170"/>
      <c r="B813" s="171"/>
      <c r="C813" s="171"/>
      <c r="D813" s="171"/>
      <c r="E813" s="171"/>
      <c r="F813" s="171"/>
      <c r="G813" s="171"/>
      <c r="H813" s="171"/>
    </row>
    <row r="814" spans="1:8">
      <c r="A814" s="170"/>
      <c r="B814" s="171"/>
      <c r="C814" s="171"/>
      <c r="D814" s="171"/>
      <c r="E814" s="171"/>
      <c r="F814" s="171"/>
      <c r="G814" s="171"/>
      <c r="H814" s="171"/>
    </row>
    <row r="815" spans="1:8">
      <c r="A815" s="170"/>
      <c r="B815" s="171"/>
      <c r="C815" s="171"/>
      <c r="D815" s="171"/>
      <c r="E815" s="171"/>
      <c r="F815" s="171"/>
      <c r="G815" s="171"/>
      <c r="H815" s="171"/>
    </row>
    <row r="816" spans="1:8">
      <c r="A816" s="170"/>
      <c r="B816" s="171"/>
      <c r="C816" s="171"/>
      <c r="D816" s="171"/>
      <c r="E816" s="171"/>
      <c r="F816" s="171"/>
      <c r="G816" s="171"/>
      <c r="H816" s="171"/>
    </row>
    <row r="817" spans="1:8">
      <c r="A817" s="170"/>
      <c r="B817" s="171"/>
      <c r="C817" s="171"/>
      <c r="D817" s="171"/>
      <c r="E817" s="171"/>
      <c r="F817" s="171"/>
      <c r="G817" s="171"/>
      <c r="H817" s="171"/>
    </row>
    <row r="818" spans="1:8">
      <c r="A818" s="170"/>
      <c r="B818" s="171"/>
      <c r="C818" s="171"/>
      <c r="D818" s="171"/>
      <c r="E818" s="171"/>
      <c r="F818" s="171"/>
      <c r="G818" s="171"/>
      <c r="H818" s="171"/>
    </row>
    <row r="819" spans="1:8">
      <c r="A819" s="170"/>
      <c r="B819" s="171"/>
      <c r="C819" s="171"/>
      <c r="D819" s="171"/>
      <c r="E819" s="171"/>
      <c r="F819" s="171"/>
      <c r="G819" s="171"/>
      <c r="H819" s="171"/>
    </row>
    <row r="820" spans="1:8">
      <c r="A820" s="170"/>
      <c r="B820" s="171"/>
      <c r="C820" s="171"/>
      <c r="D820" s="171"/>
      <c r="E820" s="171"/>
      <c r="F820" s="171"/>
      <c r="G820" s="171"/>
      <c r="H820" s="171"/>
    </row>
    <row r="821" spans="1:8">
      <c r="A821" s="170"/>
      <c r="B821" s="171"/>
      <c r="C821" s="171"/>
      <c r="D821" s="171"/>
      <c r="E821" s="171"/>
      <c r="F821" s="171"/>
      <c r="G821" s="171"/>
      <c r="H821" s="171"/>
    </row>
    <row r="822" spans="1:8">
      <c r="A822" s="170"/>
      <c r="B822" s="171"/>
      <c r="C822" s="171"/>
      <c r="D822" s="171"/>
      <c r="E822" s="171"/>
      <c r="F822" s="171"/>
      <c r="G822" s="171"/>
      <c r="H822" s="171"/>
    </row>
    <row r="823" spans="1:8">
      <c r="A823" s="170"/>
      <c r="B823" s="171"/>
      <c r="C823" s="171"/>
      <c r="D823" s="171"/>
      <c r="E823" s="171"/>
      <c r="F823" s="171"/>
      <c r="G823" s="171"/>
      <c r="H823" s="171"/>
    </row>
    <row r="824" spans="1:8">
      <c r="A824" s="170"/>
      <c r="B824" s="171"/>
      <c r="C824" s="171"/>
      <c r="D824" s="171"/>
      <c r="E824" s="171"/>
      <c r="F824" s="171"/>
      <c r="G824" s="171"/>
      <c r="H824" s="171"/>
    </row>
    <row r="825" spans="1:8">
      <c r="A825" s="170"/>
      <c r="B825" s="171"/>
      <c r="C825" s="171"/>
      <c r="D825" s="171"/>
      <c r="E825" s="171"/>
      <c r="F825" s="171"/>
      <c r="G825" s="171"/>
      <c r="H825" s="171"/>
    </row>
    <row r="826" spans="1:8">
      <c r="A826" s="170"/>
      <c r="B826" s="171"/>
      <c r="C826" s="171"/>
      <c r="D826" s="171"/>
      <c r="E826" s="171"/>
      <c r="F826" s="171"/>
      <c r="G826" s="171"/>
      <c r="H826" s="171"/>
    </row>
    <row r="827" spans="1:8">
      <c r="A827" s="170"/>
      <c r="B827" s="171"/>
      <c r="C827" s="171"/>
      <c r="D827" s="171"/>
      <c r="E827" s="171"/>
      <c r="F827" s="171"/>
      <c r="G827" s="171"/>
      <c r="H827" s="171"/>
    </row>
    <row r="828" spans="1:8">
      <c r="A828" s="170"/>
      <c r="B828" s="171"/>
      <c r="C828" s="171"/>
      <c r="D828" s="171"/>
      <c r="E828" s="171"/>
      <c r="F828" s="171"/>
      <c r="G828" s="171"/>
      <c r="H828" s="171"/>
    </row>
    <row r="829" spans="1:8">
      <c r="A829" s="170"/>
      <c r="B829" s="171"/>
      <c r="C829" s="171"/>
      <c r="D829" s="171"/>
      <c r="E829" s="171"/>
      <c r="F829" s="171"/>
      <c r="G829" s="171"/>
      <c r="H829" s="171"/>
    </row>
    <row r="830" spans="1:8">
      <c r="A830" s="170"/>
      <c r="B830" s="171"/>
      <c r="C830" s="171"/>
      <c r="D830" s="171"/>
      <c r="E830" s="171"/>
      <c r="F830" s="171"/>
      <c r="G830" s="171"/>
      <c r="H830" s="171"/>
    </row>
    <row r="831" spans="1:8">
      <c r="A831" s="170"/>
      <c r="B831" s="171"/>
      <c r="C831" s="171"/>
      <c r="D831" s="171"/>
      <c r="E831" s="171"/>
      <c r="F831" s="171"/>
      <c r="G831" s="171"/>
      <c r="H831" s="171"/>
    </row>
    <row r="832" spans="1:8">
      <c r="A832" s="170"/>
      <c r="B832" s="171"/>
      <c r="C832" s="171"/>
      <c r="D832" s="171"/>
      <c r="E832" s="171"/>
      <c r="F832" s="171"/>
      <c r="G832" s="171"/>
      <c r="H832" s="171"/>
    </row>
    <row r="833" spans="1:8">
      <c r="A833" s="170"/>
      <c r="B833" s="171"/>
      <c r="C833" s="171"/>
      <c r="D833" s="171"/>
      <c r="E833" s="171"/>
      <c r="F833" s="171"/>
      <c r="G833" s="171"/>
      <c r="H833" s="171"/>
    </row>
    <row r="834" spans="1:8">
      <c r="A834" s="170"/>
      <c r="B834" s="171"/>
      <c r="C834" s="171"/>
      <c r="D834" s="171"/>
      <c r="E834" s="171"/>
      <c r="F834" s="171"/>
      <c r="G834" s="171"/>
      <c r="H834" s="171"/>
    </row>
    <row r="835" spans="1:8">
      <c r="A835" s="170"/>
      <c r="B835" s="171"/>
      <c r="C835" s="171"/>
      <c r="D835" s="171"/>
      <c r="E835" s="171"/>
      <c r="F835" s="171"/>
      <c r="G835" s="171"/>
      <c r="H835" s="171"/>
    </row>
    <row r="836" spans="1:8">
      <c r="A836" s="170"/>
      <c r="B836" s="171"/>
      <c r="C836" s="171"/>
      <c r="D836" s="171"/>
      <c r="E836" s="171"/>
      <c r="F836" s="171"/>
      <c r="G836" s="171"/>
      <c r="H836" s="171"/>
    </row>
    <row r="837" spans="1:8">
      <c r="A837" s="170"/>
      <c r="B837" s="171"/>
      <c r="C837" s="171"/>
      <c r="D837" s="171"/>
      <c r="E837" s="171"/>
      <c r="F837" s="171"/>
      <c r="G837" s="171"/>
      <c r="H837" s="171"/>
    </row>
    <row r="838" spans="1:8">
      <c r="A838" s="170"/>
      <c r="B838" s="171"/>
      <c r="C838" s="171"/>
      <c r="D838" s="171"/>
      <c r="E838" s="171"/>
      <c r="F838" s="171"/>
      <c r="G838" s="171"/>
      <c r="H838" s="171"/>
    </row>
    <row r="839" spans="1:8">
      <c r="A839" s="170"/>
      <c r="B839" s="171"/>
      <c r="C839" s="171"/>
      <c r="D839" s="171"/>
      <c r="E839" s="171"/>
      <c r="F839" s="171"/>
      <c r="G839" s="171"/>
      <c r="H839" s="171"/>
    </row>
    <row r="840" spans="1:8">
      <c r="A840" s="170"/>
      <c r="B840" s="171"/>
      <c r="C840" s="171"/>
      <c r="D840" s="171"/>
      <c r="E840" s="171"/>
      <c r="F840" s="171"/>
      <c r="G840" s="171"/>
      <c r="H840" s="171"/>
    </row>
    <row r="841" spans="1:8">
      <c r="A841" s="170"/>
      <c r="B841" s="171"/>
      <c r="C841" s="171"/>
      <c r="D841" s="171"/>
      <c r="E841" s="171"/>
      <c r="F841" s="171"/>
      <c r="G841" s="171"/>
      <c r="H841" s="171"/>
    </row>
    <row r="842" spans="1:8">
      <c r="A842" s="170"/>
      <c r="B842" s="171"/>
      <c r="C842" s="171"/>
      <c r="D842" s="171"/>
      <c r="E842" s="171"/>
      <c r="F842" s="171"/>
      <c r="G842" s="171"/>
      <c r="H842" s="171"/>
    </row>
    <row r="843" spans="1:8">
      <c r="A843" s="170"/>
      <c r="B843" s="171"/>
      <c r="C843" s="171"/>
      <c r="D843" s="171"/>
      <c r="E843" s="171"/>
      <c r="F843" s="171"/>
      <c r="G843" s="171"/>
      <c r="H843" s="171"/>
    </row>
    <row r="844" spans="1:8">
      <c r="A844" s="170"/>
      <c r="B844" s="171"/>
      <c r="C844" s="171"/>
      <c r="D844" s="171"/>
      <c r="E844" s="171"/>
      <c r="F844" s="171"/>
      <c r="G844" s="171"/>
      <c r="H844" s="171"/>
    </row>
    <row r="845" spans="1:8">
      <c r="A845" s="170"/>
      <c r="B845" s="171"/>
      <c r="C845" s="171"/>
      <c r="D845" s="171"/>
      <c r="E845" s="171"/>
      <c r="F845" s="171"/>
      <c r="G845" s="171"/>
      <c r="H845" s="171"/>
    </row>
    <row r="846" spans="1:8">
      <c r="A846" s="170"/>
      <c r="B846" s="171"/>
      <c r="C846" s="171"/>
      <c r="D846" s="171"/>
      <c r="E846" s="171"/>
      <c r="F846" s="171"/>
      <c r="G846" s="171"/>
      <c r="H846" s="171"/>
    </row>
    <row r="847" spans="1:8">
      <c r="A847" s="170"/>
      <c r="B847" s="171"/>
      <c r="C847" s="171"/>
      <c r="D847" s="171"/>
      <c r="E847" s="171"/>
      <c r="F847" s="171"/>
      <c r="G847" s="171"/>
      <c r="H847" s="171"/>
    </row>
    <row r="848" spans="1:8">
      <c r="A848" s="170"/>
      <c r="B848" s="171"/>
      <c r="C848" s="171"/>
      <c r="D848" s="171"/>
      <c r="E848" s="171"/>
      <c r="F848" s="171"/>
      <c r="G848" s="171"/>
      <c r="H848" s="171"/>
    </row>
    <row r="849" spans="1:8">
      <c r="A849" s="170"/>
      <c r="B849" s="171"/>
      <c r="C849" s="171"/>
      <c r="D849" s="171"/>
      <c r="E849" s="171"/>
      <c r="F849" s="171"/>
      <c r="G849" s="171"/>
      <c r="H849" s="171"/>
    </row>
    <row r="850" spans="1:8">
      <c r="A850" s="170"/>
      <c r="B850" s="171"/>
      <c r="C850" s="171"/>
      <c r="D850" s="171"/>
      <c r="E850" s="171"/>
      <c r="F850" s="171"/>
      <c r="G850" s="171"/>
      <c r="H850" s="171"/>
    </row>
    <row r="851" spans="1:8">
      <c r="A851" s="170"/>
      <c r="B851" s="171"/>
      <c r="C851" s="171"/>
      <c r="D851" s="171"/>
      <c r="E851" s="171"/>
      <c r="F851" s="171"/>
      <c r="G851" s="171"/>
      <c r="H851" s="171"/>
    </row>
    <row r="852" spans="1:8">
      <c r="A852" s="170"/>
      <c r="B852" s="171"/>
      <c r="C852" s="171"/>
      <c r="D852" s="171"/>
      <c r="E852" s="171"/>
      <c r="F852" s="171"/>
      <c r="G852" s="171"/>
      <c r="H852" s="171"/>
    </row>
    <row r="853" spans="1:8">
      <c r="A853" s="170"/>
      <c r="B853" s="171"/>
      <c r="C853" s="171"/>
      <c r="D853" s="171"/>
      <c r="E853" s="171"/>
      <c r="F853" s="171"/>
      <c r="G853" s="171"/>
      <c r="H853" s="171"/>
    </row>
    <row r="854" spans="1:8">
      <c r="A854" s="170"/>
      <c r="B854" s="171"/>
      <c r="C854" s="171"/>
      <c r="D854" s="171"/>
      <c r="E854" s="171"/>
      <c r="F854" s="171"/>
      <c r="G854" s="171"/>
      <c r="H854" s="171"/>
    </row>
    <row r="855" spans="1:8">
      <c r="A855" s="170"/>
      <c r="B855" s="171"/>
      <c r="C855" s="171"/>
      <c r="D855" s="171"/>
      <c r="E855" s="171"/>
      <c r="F855" s="171"/>
      <c r="G855" s="171"/>
      <c r="H855" s="171"/>
    </row>
    <row r="856" spans="1:8">
      <c r="A856" s="170"/>
      <c r="B856" s="171"/>
      <c r="C856" s="171"/>
      <c r="D856" s="171"/>
      <c r="E856" s="171"/>
      <c r="F856" s="171"/>
      <c r="G856" s="171"/>
      <c r="H856" s="171"/>
    </row>
    <row r="857" spans="1:8">
      <c r="A857" s="170"/>
      <c r="B857" s="171"/>
      <c r="C857" s="171"/>
      <c r="D857" s="171"/>
      <c r="E857" s="171"/>
      <c r="F857" s="171"/>
      <c r="G857" s="171"/>
      <c r="H857" s="171"/>
    </row>
    <row r="858" spans="1:8">
      <c r="A858" s="170"/>
      <c r="B858" s="171"/>
      <c r="C858" s="171"/>
      <c r="D858" s="171"/>
      <c r="E858" s="171"/>
      <c r="F858" s="171"/>
      <c r="G858" s="171"/>
      <c r="H858" s="171"/>
    </row>
    <row r="859" spans="1:8">
      <c r="A859" s="170"/>
      <c r="B859" s="171"/>
      <c r="C859" s="171"/>
      <c r="D859" s="171"/>
      <c r="E859" s="171"/>
      <c r="F859" s="171"/>
      <c r="G859" s="171"/>
      <c r="H859" s="171"/>
    </row>
    <row r="860" spans="1:8">
      <c r="A860" s="170"/>
      <c r="B860" s="171"/>
      <c r="C860" s="171"/>
      <c r="D860" s="171"/>
      <c r="E860" s="171"/>
      <c r="F860" s="171"/>
      <c r="G860" s="171"/>
      <c r="H860" s="171"/>
    </row>
    <row r="861" spans="1:8">
      <c r="A861" s="170"/>
      <c r="B861" s="171"/>
      <c r="C861" s="171"/>
      <c r="D861" s="171"/>
      <c r="E861" s="171"/>
      <c r="F861" s="171"/>
      <c r="G861" s="171"/>
      <c r="H861" s="171"/>
    </row>
    <row r="862" spans="1:8">
      <c r="A862" s="170"/>
      <c r="B862" s="171"/>
      <c r="C862" s="171"/>
      <c r="D862" s="171"/>
      <c r="E862" s="171"/>
      <c r="F862" s="171"/>
      <c r="G862" s="171"/>
      <c r="H862" s="171"/>
    </row>
    <row r="863" spans="1:8">
      <c r="A863" s="170"/>
      <c r="B863" s="171"/>
      <c r="C863" s="171"/>
      <c r="D863" s="171"/>
      <c r="E863" s="171"/>
      <c r="F863" s="171"/>
      <c r="G863" s="171"/>
      <c r="H863" s="171"/>
    </row>
    <row r="864" spans="1:8">
      <c r="A864" s="170"/>
      <c r="B864" s="171"/>
      <c r="C864" s="171"/>
      <c r="D864" s="171"/>
      <c r="E864" s="171"/>
      <c r="F864" s="171"/>
      <c r="G864" s="171"/>
      <c r="H864" s="171"/>
    </row>
    <row r="865" spans="1:8">
      <c r="A865" s="170"/>
      <c r="B865" s="171"/>
      <c r="C865" s="171"/>
      <c r="D865" s="171"/>
      <c r="E865" s="171"/>
      <c r="F865" s="171"/>
      <c r="G865" s="171"/>
      <c r="H865" s="171"/>
    </row>
    <row r="866" spans="1:8">
      <c r="A866" s="170"/>
      <c r="B866" s="171"/>
      <c r="C866" s="171"/>
      <c r="D866" s="171"/>
      <c r="E866" s="171"/>
      <c r="F866" s="171"/>
      <c r="G866" s="171"/>
      <c r="H866" s="171"/>
    </row>
    <row r="867" spans="1:8">
      <c r="A867" s="170"/>
      <c r="B867" s="171"/>
      <c r="C867" s="171"/>
      <c r="D867" s="171"/>
      <c r="E867" s="171"/>
      <c r="F867" s="171"/>
      <c r="G867" s="171"/>
      <c r="H867" s="171"/>
    </row>
    <row r="868" spans="1:8">
      <c r="A868" s="170"/>
      <c r="B868" s="171"/>
      <c r="C868" s="171"/>
      <c r="D868" s="171"/>
      <c r="E868" s="171"/>
      <c r="F868" s="171"/>
      <c r="G868" s="171"/>
      <c r="H868" s="171"/>
    </row>
    <row r="869" spans="1:8">
      <c r="A869" s="170"/>
      <c r="B869" s="171"/>
      <c r="C869" s="171"/>
      <c r="D869" s="171"/>
      <c r="E869" s="171"/>
      <c r="F869" s="171"/>
      <c r="G869" s="171"/>
      <c r="H869" s="171"/>
    </row>
    <row r="870" spans="1:8">
      <c r="A870" s="170"/>
      <c r="B870" s="171"/>
      <c r="C870" s="171"/>
      <c r="D870" s="171"/>
      <c r="E870" s="171"/>
      <c r="F870" s="171"/>
      <c r="G870" s="171"/>
      <c r="H870" s="171"/>
    </row>
    <row r="871" spans="1:8">
      <c r="A871" s="170"/>
      <c r="B871" s="171"/>
      <c r="C871" s="171"/>
      <c r="D871" s="171"/>
      <c r="E871" s="171"/>
      <c r="F871" s="171"/>
      <c r="G871" s="171"/>
      <c r="H871" s="171"/>
    </row>
    <row r="872" spans="1:8">
      <c r="A872" s="170"/>
      <c r="B872" s="171"/>
      <c r="C872" s="171"/>
      <c r="D872" s="171"/>
      <c r="E872" s="171"/>
      <c r="F872" s="171"/>
      <c r="G872" s="171"/>
      <c r="H872" s="171"/>
    </row>
    <row r="873" spans="1:8">
      <c r="A873" s="170"/>
      <c r="B873" s="171"/>
      <c r="C873" s="171"/>
      <c r="D873" s="171"/>
      <c r="E873" s="171"/>
      <c r="F873" s="171"/>
      <c r="G873" s="171"/>
      <c r="H873" s="171"/>
    </row>
    <row r="874" spans="1:8">
      <c r="A874" s="170"/>
      <c r="B874" s="171"/>
      <c r="C874" s="171"/>
      <c r="D874" s="171"/>
      <c r="E874" s="171"/>
      <c r="F874" s="171"/>
      <c r="G874" s="171"/>
      <c r="H874" s="171"/>
    </row>
    <row r="875" spans="1:8">
      <c r="A875" s="170"/>
      <c r="B875" s="171"/>
      <c r="C875" s="171"/>
      <c r="D875" s="171"/>
      <c r="E875" s="171"/>
      <c r="F875" s="171"/>
      <c r="G875" s="171"/>
      <c r="H875" s="171"/>
    </row>
    <row r="876" spans="1:8">
      <c r="A876" s="170"/>
      <c r="B876" s="171"/>
      <c r="C876" s="171"/>
      <c r="D876" s="171"/>
      <c r="E876" s="171"/>
      <c r="F876" s="171"/>
      <c r="G876" s="171"/>
      <c r="H876" s="171"/>
    </row>
    <row r="877" spans="1:8">
      <c r="A877" s="170"/>
      <c r="B877" s="171"/>
      <c r="C877" s="171"/>
      <c r="D877" s="171"/>
      <c r="E877" s="171"/>
      <c r="F877" s="171"/>
      <c r="G877" s="171"/>
      <c r="H877" s="171"/>
    </row>
    <row r="878" spans="1:8">
      <c r="A878" s="170"/>
      <c r="B878" s="171"/>
      <c r="C878" s="171"/>
      <c r="D878" s="171"/>
      <c r="E878" s="171"/>
      <c r="F878" s="171"/>
      <c r="G878" s="171"/>
      <c r="H878" s="171"/>
    </row>
    <row r="879" spans="1:8">
      <c r="A879" s="170"/>
      <c r="B879" s="171"/>
      <c r="C879" s="171"/>
      <c r="D879" s="171"/>
      <c r="E879" s="171"/>
      <c r="F879" s="171"/>
      <c r="G879" s="171"/>
      <c r="H879" s="171"/>
    </row>
    <row r="880" spans="1:8">
      <c r="A880" s="170"/>
      <c r="B880" s="171"/>
      <c r="C880" s="171"/>
      <c r="D880" s="171"/>
      <c r="E880" s="171"/>
      <c r="F880" s="171"/>
      <c r="G880" s="171"/>
      <c r="H880" s="171"/>
    </row>
    <row r="881" spans="1:8">
      <c r="A881" s="170"/>
      <c r="B881" s="171"/>
      <c r="C881" s="171"/>
      <c r="D881" s="171"/>
      <c r="E881" s="171"/>
      <c r="F881" s="171"/>
      <c r="G881" s="171"/>
      <c r="H881" s="171"/>
    </row>
    <row r="882" spans="1:8">
      <c r="A882" s="170"/>
      <c r="B882" s="171"/>
      <c r="C882" s="171"/>
      <c r="D882" s="171"/>
      <c r="E882" s="171"/>
      <c r="F882" s="171"/>
      <c r="G882" s="171"/>
      <c r="H882" s="171"/>
    </row>
    <row r="883" spans="1:8">
      <c r="A883" s="170"/>
      <c r="B883" s="171"/>
      <c r="C883" s="171"/>
      <c r="D883" s="171"/>
      <c r="E883" s="171"/>
      <c r="F883" s="171"/>
      <c r="G883" s="171"/>
      <c r="H883" s="171"/>
    </row>
    <row r="884" spans="1:8">
      <c r="A884" s="170"/>
      <c r="B884" s="171"/>
      <c r="C884" s="171"/>
      <c r="D884" s="171"/>
      <c r="E884" s="171"/>
      <c r="F884" s="171"/>
      <c r="G884" s="171"/>
      <c r="H884" s="171"/>
    </row>
    <row r="885" spans="1:8">
      <c r="A885" s="170"/>
      <c r="B885" s="171"/>
      <c r="C885" s="171"/>
      <c r="D885" s="171"/>
      <c r="E885" s="171"/>
      <c r="F885" s="171"/>
      <c r="G885" s="171"/>
      <c r="H885" s="171"/>
    </row>
    <row r="886" spans="1:8">
      <c r="A886" s="170"/>
      <c r="B886" s="171"/>
      <c r="C886" s="171"/>
      <c r="D886" s="171"/>
      <c r="E886" s="171"/>
      <c r="F886" s="171"/>
      <c r="G886" s="171"/>
      <c r="H886" s="171"/>
    </row>
    <row r="887" spans="1:8">
      <c r="A887" s="170"/>
      <c r="B887" s="171"/>
      <c r="C887" s="171"/>
      <c r="D887" s="171"/>
      <c r="E887" s="171"/>
      <c r="F887" s="171"/>
      <c r="G887" s="171"/>
      <c r="H887" s="171"/>
    </row>
    <row r="888" spans="1:8">
      <c r="A888" s="170"/>
      <c r="B888" s="171"/>
      <c r="C888" s="171"/>
      <c r="D888" s="171"/>
      <c r="E888" s="171"/>
      <c r="F888" s="171"/>
      <c r="G888" s="171"/>
      <c r="H888" s="171"/>
    </row>
    <row r="889" spans="1:8">
      <c r="A889" s="170"/>
      <c r="B889" s="171"/>
      <c r="C889" s="171"/>
      <c r="D889" s="171"/>
      <c r="E889" s="171"/>
      <c r="F889" s="171"/>
      <c r="G889" s="171"/>
      <c r="H889" s="171"/>
    </row>
    <row r="890" spans="1:8">
      <c r="A890" s="170"/>
      <c r="B890" s="171"/>
      <c r="C890" s="171"/>
      <c r="D890" s="171"/>
      <c r="E890" s="171"/>
      <c r="F890" s="171"/>
      <c r="G890" s="171"/>
      <c r="H890" s="171"/>
    </row>
    <row r="891" spans="1:8">
      <c r="A891" s="170"/>
      <c r="B891" s="171"/>
      <c r="C891" s="171"/>
      <c r="D891" s="171"/>
      <c r="E891" s="171"/>
      <c r="F891" s="171"/>
      <c r="G891" s="171"/>
      <c r="H891" s="171"/>
    </row>
    <row r="892" spans="1:8">
      <c r="A892" s="170"/>
      <c r="B892" s="171"/>
      <c r="C892" s="171"/>
      <c r="D892" s="171"/>
      <c r="E892" s="171"/>
      <c r="F892" s="171"/>
      <c r="G892" s="171"/>
      <c r="H892" s="171"/>
    </row>
    <row r="893" spans="1:8">
      <c r="A893" s="170"/>
      <c r="B893" s="171"/>
      <c r="C893" s="171"/>
      <c r="D893" s="171"/>
      <c r="E893" s="171"/>
      <c r="F893" s="171"/>
      <c r="G893" s="171"/>
      <c r="H893" s="171"/>
    </row>
    <row r="894" spans="1:8">
      <c r="A894" s="170"/>
      <c r="B894" s="171"/>
      <c r="C894" s="171"/>
      <c r="D894" s="171"/>
      <c r="E894" s="171"/>
      <c r="F894" s="171"/>
      <c r="G894" s="171"/>
      <c r="H894" s="171"/>
    </row>
    <row r="895" spans="1:8">
      <c r="A895" s="170"/>
      <c r="B895" s="171"/>
      <c r="C895" s="171"/>
      <c r="D895" s="171"/>
      <c r="E895" s="171"/>
      <c r="F895" s="171"/>
      <c r="G895" s="171"/>
      <c r="H895" s="171"/>
    </row>
    <row r="896" spans="1:8">
      <c r="A896" s="170"/>
      <c r="B896" s="171"/>
      <c r="C896" s="171"/>
      <c r="D896" s="171"/>
      <c r="E896" s="171"/>
      <c r="F896" s="171"/>
      <c r="G896" s="171"/>
      <c r="H896" s="171"/>
    </row>
    <row r="897" spans="1:8">
      <c r="A897" s="170"/>
      <c r="B897" s="171"/>
      <c r="C897" s="171"/>
      <c r="D897" s="171"/>
      <c r="E897" s="171"/>
      <c r="F897" s="171"/>
      <c r="G897" s="171"/>
      <c r="H897" s="171"/>
    </row>
    <row r="898" spans="1:8">
      <c r="A898" s="170"/>
      <c r="B898" s="171"/>
      <c r="C898" s="171"/>
      <c r="D898" s="171"/>
      <c r="E898" s="171"/>
      <c r="F898" s="171"/>
      <c r="G898" s="171"/>
      <c r="H898" s="171"/>
    </row>
    <row r="899" spans="1:8">
      <c r="A899" s="170"/>
      <c r="B899" s="171"/>
      <c r="C899" s="171"/>
      <c r="D899" s="171"/>
      <c r="E899" s="171"/>
      <c r="F899" s="171"/>
      <c r="G899" s="171"/>
      <c r="H899" s="171"/>
    </row>
    <row r="900" spans="1:8">
      <c r="A900" s="170"/>
      <c r="B900" s="171"/>
      <c r="C900" s="171"/>
      <c r="D900" s="171"/>
      <c r="E900" s="171"/>
      <c r="F900" s="171"/>
      <c r="G900" s="171"/>
      <c r="H900" s="171"/>
    </row>
    <row r="901" spans="1:8">
      <c r="A901" s="170"/>
      <c r="B901" s="171"/>
      <c r="C901" s="171"/>
      <c r="D901" s="171"/>
      <c r="E901" s="171"/>
      <c r="F901" s="171"/>
      <c r="G901" s="171"/>
      <c r="H901" s="171"/>
    </row>
    <row r="902" spans="1:8">
      <c r="A902" s="170"/>
      <c r="B902" s="171"/>
      <c r="C902" s="171"/>
      <c r="D902" s="171"/>
      <c r="E902" s="171"/>
      <c r="F902" s="171"/>
      <c r="G902" s="171"/>
      <c r="H902" s="171"/>
    </row>
    <row r="903" spans="1:8">
      <c r="A903" s="170"/>
      <c r="B903" s="171"/>
      <c r="C903" s="171"/>
      <c r="D903" s="171"/>
      <c r="E903" s="171"/>
      <c r="F903" s="171"/>
      <c r="G903" s="171"/>
      <c r="H903" s="171"/>
    </row>
    <row r="904" spans="1:8">
      <c r="A904" s="170"/>
      <c r="B904" s="171"/>
      <c r="C904" s="171"/>
      <c r="D904" s="171"/>
      <c r="E904" s="171"/>
      <c r="F904" s="171"/>
      <c r="G904" s="171"/>
      <c r="H904" s="171"/>
    </row>
    <row r="905" spans="1:8">
      <c r="A905" s="170"/>
      <c r="B905" s="171"/>
      <c r="C905" s="171"/>
      <c r="D905" s="171"/>
      <c r="E905" s="171"/>
      <c r="F905" s="171"/>
      <c r="G905" s="171"/>
      <c r="H905" s="171"/>
    </row>
    <row r="906" spans="1:8">
      <c r="A906" s="170"/>
      <c r="B906" s="171"/>
      <c r="C906" s="171"/>
      <c r="D906" s="171"/>
      <c r="E906" s="171"/>
      <c r="F906" s="171"/>
      <c r="G906" s="171"/>
      <c r="H906" s="171"/>
    </row>
    <row r="907" spans="1:8">
      <c r="A907" s="170"/>
      <c r="B907" s="171"/>
      <c r="C907" s="171"/>
      <c r="D907" s="171"/>
      <c r="E907" s="171"/>
      <c r="F907" s="171"/>
      <c r="G907" s="171"/>
      <c r="H907" s="171"/>
    </row>
    <row r="908" spans="1:8">
      <c r="A908" s="170"/>
      <c r="B908" s="171"/>
      <c r="C908" s="171"/>
      <c r="D908" s="171"/>
      <c r="E908" s="171"/>
      <c r="F908" s="171"/>
      <c r="G908" s="171"/>
      <c r="H908" s="171"/>
    </row>
    <row r="909" spans="1:8">
      <c r="A909" s="170"/>
      <c r="B909" s="171"/>
      <c r="C909" s="171"/>
      <c r="D909" s="171"/>
      <c r="E909" s="171"/>
      <c r="F909" s="171"/>
      <c r="G909" s="171"/>
 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" s="171"/>
    </row>
    <row r="911" spans="1:8">
      <c r="A911" s="170"/>
      <c r="B911" s="171"/>
      <c r="C911" s="171"/>
      <c r="D911" s="171"/>
      <c r="E911" s="171"/>
      <c r="F911" s="171"/>
      <c r="G911" s="171"/>
      <c r="H911" s="171"/>
    </row>
    <row r="912" spans="1:8">
      <c r="A912" s="170"/>
      <c r="B912" s="171"/>
      <c r="C912" s="171"/>
      <c r="D912" s="171"/>
      <c r="E912" s="171"/>
      <c r="F912" s="171"/>
      <c r="G912" s="171"/>
      <c r="H912" s="171"/>
    </row>
    <row r="913" spans="1:8">
      <c r="A913" s="170"/>
      <c r="B913" s="171"/>
      <c r="C913" s="171"/>
      <c r="D913" s="171"/>
      <c r="E913" s="171"/>
      <c r="F913" s="171"/>
      <c r="G913" s="171"/>
      <c r="H913" s="171"/>
    </row>
    <row r="914" spans="1:8">
      <c r="A914" s="170"/>
      <c r="B914" s="171"/>
      <c r="C914" s="171"/>
      <c r="D914" s="171"/>
      <c r="E914" s="171"/>
      <c r="F914" s="171"/>
      <c r="G914" s="171"/>
      <c r="H914" s="171"/>
    </row>
    <row r="915" spans="1:8">
      <c r="A915" s="170"/>
      <c r="B915" s="171"/>
      <c r="C915" s="171"/>
      <c r="D915" s="171"/>
      <c r="E915" s="171"/>
      <c r="F915" s="171"/>
      <c r="G915" s="171"/>
      <c r="H915" s="171"/>
    </row>
    <row r="916" spans="1:8">
      <c r="A916" s="170"/>
      <c r="B916" s="171"/>
      <c r="C916" s="171"/>
      <c r="D916" s="171"/>
      <c r="E916" s="171"/>
      <c r="F916" s="171"/>
      <c r="G916" s="171"/>
      <c r="H916" s="171"/>
    </row>
    <row r="917" spans="1:8">
      <c r="A917" s="170"/>
      <c r="B917" s="171"/>
      <c r="C917" s="171"/>
      <c r="D917" s="171"/>
      <c r="E917" s="171"/>
      <c r="F917" s="171"/>
      <c r="G917" s="171"/>
      <c r="H917" s="171"/>
    </row>
    <row r="918" spans="1:8">
      <c r="A918" s="170"/>
      <c r="B918" s="171"/>
      <c r="C918" s="171"/>
      <c r="D918" s="171"/>
      <c r="E918" s="171"/>
      <c r="F918" s="171"/>
      <c r="G918" s="171"/>
      <c r="H918" s="171"/>
    </row>
    <row r="919" spans="1:8">
      <c r="A919" s="170"/>
      <c r="B919" s="171"/>
      <c r="C919" s="171"/>
      <c r="D919" s="171"/>
      <c r="E919" s="171"/>
      <c r="F919" s="171"/>
      <c r="G919" s="171"/>
      <c r="H919" s="171"/>
    </row>
    <row r="920" spans="1:8">
      <c r="A920" s="170"/>
      <c r="B920" s="171"/>
      <c r="C920" s="171"/>
      <c r="D920" s="171"/>
      <c r="E920" s="171"/>
      <c r="F920" s="171"/>
      <c r="G920" s="171"/>
      <c r="H920" s="171"/>
    </row>
    <row r="921" spans="1:8">
      <c r="A921" s="170"/>
      <c r="B921" s="171"/>
      <c r="C921" s="171"/>
      <c r="D921" s="171"/>
      <c r="E921" s="171"/>
      <c r="F921" s="171"/>
      <c r="G921" s="171"/>
      <c r="H921" s="171"/>
    </row>
    <row r="922" spans="1:8">
      <c r="A922" s="170"/>
      <c r="B922" s="171"/>
      <c r="C922" s="171"/>
      <c r="D922" s="171"/>
      <c r="E922" s="171"/>
      <c r="F922" s="171"/>
      <c r="G922" s="171"/>
      <c r="H922" s="171"/>
    </row>
    <row r="923" spans="1:8">
      <c r="A923" s="170"/>
      <c r="B923" s="171"/>
      <c r="C923" s="171"/>
      <c r="D923" s="171"/>
      <c r="E923" s="171"/>
      <c r="F923" s="171"/>
      <c r="G923" s="171"/>
      <c r="H923" s="171"/>
    </row>
    <row r="924" spans="1:8">
      <c r="A924" s="170"/>
      <c r="B924" s="171"/>
      <c r="C924" s="171"/>
      <c r="D924" s="171"/>
      <c r="E924" s="171"/>
      <c r="F924" s="171"/>
      <c r="G924" s="171"/>
      <c r="H924" s="171"/>
    </row>
    <row r="925" spans="1:8">
      <c r="A925" s="170"/>
      <c r="B925" s="171"/>
      <c r="C925" s="171"/>
      <c r="D925" s="171"/>
      <c r="E925" s="171"/>
      <c r="F925" s="171"/>
      <c r="G925" s="171"/>
      <c r="H925" s="171"/>
    </row>
    <row r="926" spans="1:8">
      <c r="A926" s="170"/>
      <c r="B926" s="171"/>
      <c r="C926" s="171"/>
      <c r="D926" s="171"/>
      <c r="E926" s="171"/>
      <c r="F926" s="171"/>
      <c r="G926" s="171"/>
      <c r="H926" s="171"/>
    </row>
    <row r="927" spans="1:8">
      <c r="A927" s="170"/>
      <c r="B927" s="171"/>
      <c r="C927" s="171"/>
      <c r="D927" s="171"/>
      <c r="E927" s="171"/>
      <c r="F927" s="171"/>
      <c r="G927" s="171"/>
      <c r="H927" s="171"/>
    </row>
    <row r="928" spans="1:8">
      <c r="A928" s="170"/>
      <c r="B928" s="171"/>
      <c r="C928" s="171"/>
      <c r="D928" s="171"/>
      <c r="E928" s="171"/>
      <c r="F928" s="171"/>
      <c r="G928" s="171"/>
      <c r="H928" s="171"/>
    </row>
    <row r="929" spans="1:8">
      <c r="A929" s="170"/>
      <c r="B929" s="171"/>
      <c r="C929" s="171"/>
      <c r="D929" s="171"/>
      <c r="E929" s="171"/>
      <c r="F929" s="171"/>
      <c r="G929" s="171"/>
      <c r="H929" s="171"/>
    </row>
    <row r="930" spans="1:8">
      <c r="A930" s="170"/>
      <c r="B930" s="171"/>
      <c r="C930" s="171"/>
      <c r="D930" s="171"/>
      <c r="E930" s="171"/>
      <c r="F930" s="171"/>
      <c r="G930" s="171"/>
      <c r="H930" s="171"/>
    </row>
    <row r="931" spans="1:8">
      <c r="A931" s="170"/>
      <c r="B931" s="171"/>
      <c r="C931" s="171"/>
      <c r="D931" s="171"/>
      <c r="E931" s="171"/>
      <c r="F931" s="171"/>
      <c r="G931" s="171"/>
      <c r="H931" s="171"/>
    </row>
    <row r="932" spans="1:8">
      <c r="A932" s="170"/>
      <c r="B932" s="171"/>
      <c r="C932" s="171"/>
      <c r="D932" s="171"/>
      <c r="E932" s="171"/>
      <c r="F932" s="171"/>
      <c r="G932" s="171"/>
      <c r="H932" s="171"/>
    </row>
    <row r="933" spans="1:8">
      <c r="A933" s="170"/>
      <c r="B933" s="171"/>
      <c r="C933" s="171"/>
      <c r="D933" s="171"/>
      <c r="E933" s="171"/>
      <c r="F933" s="171"/>
      <c r="G933" s="171"/>
      <c r="H933" s="171"/>
    </row>
    <row r="934" spans="1:8">
      <c r="A934" s="170"/>
      <c r="B934" s="171"/>
      <c r="C934" s="171"/>
      <c r="D934" s="171"/>
      <c r="E934" s="171"/>
      <c r="F934" s="171"/>
      <c r="G934" s="171"/>
      <c r="H934" s="171"/>
    </row>
    <row r="935" spans="1:8">
      <c r="A935" s="170"/>
      <c r="B935" s="171"/>
      <c r="C935" s="171"/>
      <c r="D935" s="171"/>
      <c r="E935" s="171"/>
      <c r="F935" s="171"/>
      <c r="G935" s="171"/>
      <c r="H935" s="171"/>
    </row>
    <row r="936" spans="1:8">
      <c r="A936" s="170"/>
      <c r="B936" s="171"/>
      <c r="C936" s="171"/>
      <c r="D936" s="171"/>
      <c r="E936" s="171"/>
      <c r="F936" s="171"/>
      <c r="G936" s="171"/>
      <c r="H936" s="171"/>
    </row>
    <row r="937" spans="1:8">
      <c r="A937" s="170"/>
      <c r="B937" s="171"/>
      <c r="C937" s="171"/>
      <c r="D937" s="171"/>
      <c r="E937" s="171"/>
      <c r="F937" s="171"/>
      <c r="G937" s="171"/>
      <c r="H937" s="171"/>
    </row>
    <row r="938" spans="1:8">
      <c r="A938" s="170"/>
      <c r="B938" s="171"/>
      <c r="C938" s="171"/>
      <c r="D938" s="171"/>
      <c r="E938" s="171"/>
      <c r="F938" s="171"/>
      <c r="G938" s="171"/>
      <c r="H938" s="171"/>
    </row>
    <row r="939" spans="1:8">
      <c r="A939" s="170"/>
      <c r="B939" s="171"/>
      <c r="C939" s="171"/>
      <c r="D939" s="171"/>
      <c r="E939" s="171"/>
      <c r="F939" s="171"/>
      <c r="G939" s="171"/>
      <c r="H939" s="171"/>
    </row>
    <row r="940" spans="1:8">
      <c r="A940" s="170"/>
      <c r="B940" s="171"/>
      <c r="C940" s="171"/>
      <c r="D940" s="171"/>
      <c r="E940" s="171"/>
      <c r="F940" s="171"/>
      <c r="G940" s="171"/>
      <c r="H940" s="171"/>
    </row>
    <row r="941" spans="1:8">
      <c r="A941" s="170"/>
      <c r="B941" s="171"/>
      <c r="C941" s="171"/>
      <c r="D941" s="171"/>
      <c r="E941" s="171"/>
      <c r="F941" s="171"/>
      <c r="G941" s="171"/>
      <c r="H941" s="171"/>
    </row>
    <row r="942" spans="1:8">
      <c r="A942" s="170"/>
      <c r="B942" s="171"/>
      <c r="C942" s="171"/>
      <c r="D942" s="171"/>
      <c r="E942" s="171"/>
      <c r="F942" s="171"/>
      <c r="G942" s="171"/>
      <c r="H942" s="171"/>
    </row>
    <row r="943" spans="1:8">
      <c r="A943" s="170"/>
      <c r="B943" s="171"/>
      <c r="C943" s="171"/>
      <c r="D943" s="171"/>
      <c r="E943" s="171"/>
      <c r="F943" s="171"/>
      <c r="G943" s="171"/>
      <c r="H943" s="171"/>
    </row>
    <row r="944" spans="1:8">
      <c r="A944" s="170"/>
      <c r="B944" s="171"/>
      <c r="C944" s="171"/>
      <c r="D944" s="171"/>
      <c r="E944" s="171"/>
      <c r="F944" s="171"/>
      <c r="G944" s="171"/>
      <c r="H944" s="171"/>
    </row>
    <row r="945" spans="1:8">
      <c r="A945" s="170"/>
      <c r="B945" s="171"/>
      <c r="C945" s="171"/>
      <c r="D945" s="171"/>
      <c r="E945" s="171"/>
      <c r="F945" s="171"/>
      <c r="G945" s="171"/>
      <c r="H945" s="171"/>
    </row>
    <row r="946" spans="1:8">
      <c r="A946" s="170"/>
      <c r="B946" s="171"/>
      <c r="C946" s="171"/>
      <c r="D946" s="171"/>
      <c r="E946" s="171"/>
      <c r="F946" s="171"/>
      <c r="G946" s="171"/>
      <c r="H946" s="171"/>
    </row>
    <row r="947" spans="1:8">
      <c r="A947" s="170"/>
      <c r="B947" s="171"/>
      <c r="C947" s="171"/>
      <c r="D947" s="171"/>
      <c r="E947" s="171"/>
      <c r="F947" s="171"/>
      <c r="G947" s="171"/>
      <c r="H947" s="171"/>
    </row>
    <row r="948" spans="1:8">
      <c r="A948" s="170"/>
      <c r="B948" s="171"/>
      <c r="C948" s="171"/>
      <c r="D948" s="171"/>
      <c r="E948" s="171"/>
      <c r="F948" s="171"/>
      <c r="G948" s="171"/>
      <c r="H948" s="171"/>
    </row>
    <row r="949" spans="1:8">
      <c r="A949" s="170"/>
      <c r="B949" s="171"/>
      <c r="C949" s="171"/>
      <c r="D949" s="171"/>
      <c r="E949" s="171"/>
      <c r="F949" s="171"/>
      <c r="G949" s="171"/>
      <c r="H949" s="171"/>
    </row>
    <row r="950" spans="1:8">
      <c r="A950" s="170"/>
      <c r="B950" s="171"/>
      <c r="C950" s="171"/>
      <c r="D950" s="171"/>
      <c r="E950" s="171"/>
      <c r="F950" s="171"/>
      <c r="G950" s="171"/>
      <c r="H950" s="171"/>
    </row>
    <row r="951" spans="1:8">
      <c r="A951" s="170"/>
      <c r="B951" s="171"/>
      <c r="C951" s="171"/>
      <c r="D951" s="171"/>
      <c r="E951" s="171"/>
      <c r="F951" s="171"/>
      <c r="G951" s="171"/>
      <c r="H951" s="171"/>
    </row>
    <row r="952" spans="1:8">
      <c r="A952" s="170"/>
      <c r="B952" s="171"/>
      <c r="C952" s="171"/>
      <c r="D952" s="171"/>
      <c r="E952" s="171"/>
      <c r="F952" s="171"/>
      <c r="G952" s="171"/>
      <c r="H952" s="171"/>
    </row>
    <row r="953" spans="1:8">
      <c r="A953" s="170"/>
      <c r="B953" s="171"/>
      <c r="C953" s="171"/>
      <c r="D953" s="171"/>
      <c r="E953" s="171"/>
      <c r="F953" s="171"/>
      <c r="G953" s="171"/>
      <c r="H953" s="171"/>
    </row>
    <row r="954" spans="1:8">
      <c r="A954" s="170"/>
      <c r="B954" s="171"/>
      <c r="C954" s="171"/>
      <c r="D954" s="171"/>
      <c r="E954" s="171"/>
      <c r="F954" s="171"/>
      <c r="G954" s="171"/>
      <c r="H954" s="171"/>
    </row>
    <row r="955" spans="1:8">
      <c r="A955" s="170"/>
      <c r="B955" s="171"/>
      <c r="C955" s="171"/>
      <c r="D955" s="171"/>
      <c r="E955" s="171"/>
      <c r="F955" s="171"/>
      <c r="G955" s="171"/>
      <c r="H955" s="171"/>
    </row>
    <row r="956" spans="1:8">
      <c r="A956" s="170"/>
      <c r="B956" s="171"/>
      <c r="C956" s="171"/>
      <c r="D956" s="171"/>
      <c r="E956" s="171"/>
      <c r="F956" s="171"/>
      <c r="G956" s="171"/>
      <c r="H956" s="171"/>
    </row>
    <row r="957" spans="1:8">
      <c r="A957" s="170"/>
      <c r="B957" s="171"/>
      <c r="C957" s="171"/>
      <c r="D957" s="171"/>
      <c r="E957" s="171"/>
      <c r="F957" s="171"/>
      <c r="G957" s="171"/>
      <c r="H957" s="171"/>
    </row>
    <row r="958" spans="1:8">
      <c r="A958" s="170"/>
      <c r="B958" s="171"/>
      <c r="C958" s="171"/>
      <c r="D958" s="171"/>
      <c r="E958" s="171"/>
      <c r="F958" s="171"/>
      <c r="G958" s="171"/>
      <c r="H958" s="171"/>
    </row>
    <row r="959" spans="1:8">
      <c r="A959" s="170"/>
      <c r="B959" s="171"/>
      <c r="C959" s="171"/>
      <c r="D959" s="171"/>
      <c r="E959" s="171"/>
      <c r="F959" s="171"/>
      <c r="G959" s="171"/>
      <c r="H959" s="171"/>
    </row>
    <row r="960" spans="1:8">
      <c r="A960" s="170"/>
      <c r="B960" s="171"/>
      <c r="C960" s="171"/>
      <c r="D960" s="171"/>
      <c r="E960" s="171"/>
      <c r="F960" s="171"/>
      <c r="G960" s="171"/>
      <c r="H960" s="171"/>
    </row>
    <row r="961" spans="1:8">
      <c r="A961" s="170"/>
      <c r="B961" s="171"/>
      <c r="C961" s="171"/>
      <c r="D961" s="171"/>
      <c r="E961" s="171"/>
      <c r="F961" s="171"/>
      <c r="G961" s="171"/>
      <c r="H961" s="171"/>
    </row>
    <row r="962" spans="1:8">
      <c r="A962" s="170"/>
      <c r="B962" s="171"/>
      <c r="C962" s="171"/>
      <c r="D962" s="171"/>
      <c r="E962" s="171"/>
      <c r="F962" s="171"/>
      <c r="G962" s="171"/>
      <c r="H962" s="171"/>
    </row>
    <row r="963" spans="1:8">
      <c r="A963" s="170"/>
      <c r="B963" s="171"/>
      <c r="C963" s="171"/>
      <c r="D963" s="171"/>
      <c r="E963" s="171"/>
      <c r="F963" s="171"/>
      <c r="G963" s="171"/>
      <c r="H963" s="171"/>
    </row>
    <row r="964" spans="1:8">
      <c r="A964" s="170"/>
      <c r="B964" s="171"/>
      <c r="C964" s="171"/>
      <c r="D964" s="171"/>
      <c r="E964" s="171"/>
      <c r="F964" s="171"/>
      <c r="G964" s="171"/>
      <c r="H964" s="171"/>
    </row>
    <row r="965" spans="1:8">
      <c r="A965" s="170"/>
      <c r="B965" s="171"/>
      <c r="C965" s="171"/>
      <c r="D965" s="171"/>
      <c r="E965" s="171"/>
      <c r="F965" s="171"/>
      <c r="G965" s="171"/>
      <c r="H965" s="171"/>
    </row>
    <row r="966" spans="1:8">
      <c r="A966" s="170"/>
      <c r="B966" s="171"/>
      <c r="C966" s="171"/>
      <c r="D966" s="171"/>
      <c r="E966" s="171"/>
      <c r="F966" s="171"/>
      <c r="G966" s="171"/>
      <c r="H966" s="171"/>
    </row>
    <row r="967" spans="1:8">
      <c r="A967" s="170"/>
      <c r="B967" s="171"/>
      <c r="C967" s="171"/>
      <c r="D967" s="171"/>
      <c r="E967" s="171"/>
      <c r="F967" s="171"/>
      <c r="G967" s="171"/>
      <c r="H967" s="171"/>
    </row>
    <row r="968" spans="1:8">
      <c r="A968" s="170"/>
      <c r="B968" s="171"/>
      <c r="C968" s="171"/>
      <c r="D968" s="171"/>
      <c r="E968" s="171"/>
      <c r="F968" s="171"/>
      <c r="G968" s="171"/>
      <c r="H968" s="171"/>
    </row>
    <row r="969" spans="1:8">
      <c r="A969" s="170"/>
      <c r="B969" s="171"/>
      <c r="C969" s="171"/>
      <c r="D969" s="171"/>
      <c r="E969" s="171"/>
      <c r="F969" s="171"/>
      <c r="G969" s="171"/>
      <c r="H969" s="171"/>
    </row>
    <row r="970" spans="1:8">
      <c r="A970" s="170"/>
      <c r="B970" s="171"/>
      <c r="C970" s="171"/>
      <c r="D970" s="171"/>
      <c r="E970" s="171"/>
      <c r="F970" s="171"/>
      <c r="G970" s="171"/>
      <c r="H970" s="171"/>
    </row>
    <row r="971" spans="1:8">
      <c r="A971" s="170"/>
      <c r="B971" s="171"/>
      <c r="C971" s="171"/>
      <c r="D971" s="171"/>
      <c r="E971" s="171"/>
      <c r="F971" s="171"/>
      <c r="G971" s="171"/>
      <c r="H971" s="171"/>
    </row>
    <row r="972" spans="1:8">
      <c r="A972" s="170"/>
      <c r="B972" s="171"/>
      <c r="C972" s="171"/>
      <c r="D972" s="171"/>
      <c r="E972" s="171"/>
      <c r="F972" s="171"/>
      <c r="G972" s="171"/>
      <c r="H972" s="171"/>
    </row>
    <row r="973" spans="1:8">
      <c r="A973" s="170"/>
      <c r="B973" s="171"/>
      <c r="C973" s="171"/>
      <c r="D973" s="171"/>
      <c r="E973" s="171"/>
      <c r="F973" s="171"/>
      <c r="G973" s="171"/>
      <c r="H973" s="171"/>
    </row>
    <row r="974" spans="1:8">
      <c r="A974" s="170"/>
      <c r="B974" s="171"/>
      <c r="C974" s="171"/>
      <c r="D974" s="171"/>
      <c r="E974" s="171"/>
      <c r="F974" s="171"/>
      <c r="G974" s="171"/>
      <c r="H974" s="171"/>
    </row>
    <row r="975" spans="1:8">
      <c r="A975" s="170"/>
      <c r="B975" s="171"/>
      <c r="C975" s="171"/>
      <c r="D975" s="171"/>
      <c r="E975" s="171"/>
      <c r="F975" s="171"/>
      <c r="G975" s="171"/>
      <c r="H975" s="171"/>
    </row>
    <row r="976" spans="1:8">
      <c r="A976" s="170"/>
      <c r="B976" s="171"/>
      <c r="C976" s="171"/>
      <c r="D976" s="171"/>
      <c r="E976" s="171"/>
      <c r="F976" s="171"/>
      <c r="G976" s="171"/>
      <c r="H976" s="171"/>
    </row>
    <row r="977" spans="1:8">
      <c r="A977" s="170"/>
      <c r="B977" s="171"/>
      <c r="C977" s="171"/>
      <c r="D977" s="171"/>
      <c r="E977" s="171"/>
      <c r="F977" s="171"/>
      <c r="G977" s="171"/>
      <c r="H977" s="171"/>
    </row>
    <row r="978" spans="1:8">
      <c r="A978" s="170"/>
      <c r="B978" s="171"/>
      <c r="C978" s="171"/>
      <c r="D978" s="171"/>
      <c r="E978" s="171"/>
      <c r="F978" s="171"/>
      <c r="G978" s="171"/>
      <c r="H978" s="171"/>
    </row>
    <row r="979" spans="1:8">
      <c r="A979" s="170"/>
      <c r="B979" s="171"/>
      <c r="C979" s="171"/>
      <c r="D979" s="171"/>
      <c r="E979" s="171"/>
      <c r="F979" s="171"/>
      <c r="G979" s="171"/>
      <c r="H979" s="171"/>
    </row>
    <row r="980" spans="1:8">
      <c r="A980" s="170"/>
      <c r="B980" s="171"/>
      <c r="C980" s="171"/>
      <c r="D980" s="171"/>
      <c r="E980" s="171"/>
      <c r="F980" s="171"/>
      <c r="G980" s="171"/>
      <c r="H980" s="171"/>
    </row>
    <row r="981" spans="1:8">
      <c r="A981" s="170"/>
      <c r="B981" s="171"/>
      <c r="C981" s="171"/>
      <c r="D981" s="171"/>
      <c r="E981" s="171"/>
      <c r="F981" s="171"/>
      <c r="G981" s="171"/>
      <c r="H981" s="171"/>
    </row>
    <row r="982" spans="1:8">
      <c r="A982" s="170"/>
      <c r="B982" s="171"/>
      <c r="C982" s="171"/>
      <c r="D982" s="171"/>
      <c r="E982" s="171"/>
      <c r="F982" s="171"/>
      <c r="G982" s="171"/>
      <c r="H982" s="171"/>
    </row>
    <row r="983" spans="1:8">
      <c r="A983" s="170"/>
      <c r="B983" s="171"/>
      <c r="C983" s="171"/>
      <c r="D983" s="171"/>
      <c r="E983" s="171"/>
      <c r="F983" s="171"/>
      <c r="G983" s="171"/>
      <c r="H983" s="171"/>
    </row>
    <row r="984" spans="1:8">
      <c r="A984" s="170"/>
      <c r="B984" s="171"/>
      <c r="C984" s="171"/>
      <c r="D984" s="171"/>
      <c r="E984" s="171"/>
      <c r="F984" s="171"/>
      <c r="G984" s="171"/>
      <c r="H984" s="171"/>
    </row>
    <row r="985" spans="1:8">
      <c r="A985" s="170"/>
      <c r="B985" s="171"/>
      <c r="C985" s="171"/>
      <c r="D985" s="171"/>
      <c r="E985" s="171"/>
      <c r="F985" s="171"/>
      <c r="G985" s="171"/>
      <c r="H985" s="171"/>
    </row>
    <row r="986" spans="1:8">
      <c r="A986" s="170"/>
      <c r="B986" s="171"/>
      <c r="C986" s="171"/>
      <c r="D986" s="171"/>
      <c r="E986" s="171"/>
      <c r="F986" s="171"/>
      <c r="G986" s="171"/>
      <c r="H986" s="171"/>
    </row>
    <row r="987" spans="1:8">
      <c r="A987" s="170"/>
      <c r="B987" s="171"/>
      <c r="C987" s="171"/>
      <c r="D987" s="171"/>
      <c r="E987" s="171"/>
      <c r="F987" s="171"/>
      <c r="G987" s="171"/>
      <c r="H987" s="171"/>
    </row>
    <row r="988" spans="1:8">
      <c r="A988" s="170"/>
      <c r="B988" s="171"/>
      <c r="C988" s="171"/>
      <c r="D988" s="171"/>
      <c r="E988" s="171"/>
      <c r="F988" s="171"/>
      <c r="G988" s="171"/>
      <c r="H988" s="171"/>
    </row>
    <row r="989" spans="1:8">
      <c r="A989" s="170"/>
      <c r="B989" s="171"/>
      <c r="C989" s="171"/>
      <c r="D989" s="171"/>
      <c r="E989" s="171"/>
      <c r="F989" s="171"/>
      <c r="G989" s="171"/>
      <c r="H989" s="171"/>
    </row>
    <row r="990" spans="1:8">
      <c r="A990" s="170"/>
      <c r="B990" s="171"/>
      <c r="C990" s="171"/>
      <c r="D990" s="171"/>
      <c r="E990" s="171"/>
      <c r="F990" s="171"/>
      <c r="G990" s="171"/>
      <c r="H990" s="171"/>
    </row>
    <row r="991" spans="1:8">
      <c r="A991" s="170"/>
      <c r="B991" s="171"/>
      <c r="C991" s="171"/>
      <c r="D991" s="171"/>
      <c r="E991" s="171"/>
      <c r="F991" s="171"/>
      <c r="G991" s="171"/>
      <c r="H991" s="171"/>
    </row>
    <row r="992" spans="1:8">
      <c r="A992" s="170"/>
      <c r="B992" s="171"/>
      <c r="C992" s="171"/>
      <c r="D992" s="171"/>
      <c r="E992" s="171"/>
      <c r="F992" s="171"/>
      <c r="G992" s="171"/>
      <c r="H992" s="171"/>
    </row>
    <row r="993" spans="1:8">
      <c r="A993" s="170"/>
      <c r="B993" s="171"/>
      <c r="C993" s="171"/>
      <c r="D993" s="171"/>
      <c r="E993" s="171"/>
      <c r="F993" s="171"/>
      <c r="G993" s="171"/>
      <c r="H993" s="171"/>
    </row>
    <row r="994" spans="1:8">
      <c r="A994" s="170"/>
      <c r="B994" s="171"/>
      <c r="C994" s="171"/>
      <c r="D994" s="171"/>
      <c r="E994" s="171"/>
      <c r="F994" s="171"/>
      <c r="G994" s="171"/>
      <c r="H994" s="171"/>
    </row>
    <row r="995" spans="1:8">
      <c r="A995" s="170"/>
      <c r="B995" s="171"/>
      <c r="C995" s="171"/>
      <c r="D995" s="171"/>
      <c r="E995" s="171"/>
      <c r="F995" s="171"/>
      <c r="G995" s="171"/>
      <c r="H995" s="171"/>
    </row>
    <row r="996" spans="1:8">
      <c r="A996" s="170"/>
      <c r="B996" s="171"/>
      <c r="C996" s="171"/>
      <c r="D996" s="171"/>
      <c r="E996" s="171"/>
      <c r="F996" s="171"/>
      <c r="G996" s="171"/>
      <c r="H996" s="171"/>
    </row>
    <row r="997" spans="1:8">
      <c r="A997" s="170"/>
      <c r="B997" s="171"/>
      <c r="C997" s="171"/>
      <c r="D997" s="171"/>
      <c r="E997" s="171"/>
      <c r="F997" s="171"/>
      <c r="G997" s="171"/>
      <c r="H997" s="171"/>
    </row>
    <row r="998" spans="1:8">
      <c r="A998" s="170"/>
      <c r="B998" s="171"/>
      <c r="C998" s="171"/>
      <c r="D998" s="171"/>
      <c r="E998" s="171"/>
      <c r="F998" s="171"/>
      <c r="G998" s="171"/>
      <c r="H998" s="171"/>
    </row>
    <row r="999" spans="1:8">
      <c r="A999" s="170"/>
      <c r="B999" s="171"/>
      <c r="C999" s="171"/>
      <c r="D999" s="171"/>
      <c r="E999" s="171"/>
      <c r="F999" s="171"/>
      <c r="G999" s="171"/>
      <c r="H999" s="171"/>
    </row>
    <row r="1000" spans="1:8">
      <c r="A1000" s="170"/>
      <c r="B1000" s="171"/>
      <c r="C1000" s="171"/>
      <c r="D1000" s="171"/>
      <c r="E1000" s="171"/>
      <c r="F1000" s="171"/>
      <c r="G1000" s="171"/>
      <c r="H1000" s="171"/>
    </row>
    <row r="1001" spans="1:8">
      <c r="A1001" s="170"/>
      <c r="B1001" s="171"/>
      <c r="C1001" s="171"/>
      <c r="D1001" s="171"/>
      <c r="E1001" s="171"/>
      <c r="F1001" s="171"/>
      <c r="G1001" s="171"/>
      <c r="H1001" s="171"/>
    </row>
    <row r="1002" spans="1:8">
      <c r="A1002" s="170"/>
      <c r="B1002" s="171"/>
      <c r="C1002" s="171"/>
      <c r="D1002" s="171"/>
      <c r="E1002" s="171"/>
      <c r="F1002" s="171"/>
      <c r="G1002" s="171"/>
      <c r="H1002" s="171"/>
    </row>
    <row r="1003" spans="1:8">
      <c r="A1003" s="170"/>
      <c r="B1003" s="171"/>
      <c r="C1003" s="171"/>
      <c r="D1003" s="171"/>
      <c r="E1003" s="171"/>
      <c r="F1003" s="171"/>
      <c r="G1003" s="171"/>
      <c r="H1003" s="171"/>
    </row>
    <row r="1004" spans="1:8">
      <c r="A1004" s="170"/>
      <c r="B1004" s="171"/>
      <c r="C1004" s="171"/>
      <c r="D1004" s="171"/>
      <c r="E1004" s="171"/>
      <c r="F1004" s="171"/>
      <c r="G1004" s="171"/>
      <c r="H1004" s="171"/>
    </row>
    <row r="1005" spans="1:8">
      <c r="A1005" s="170"/>
      <c r="B1005" s="171"/>
      <c r="C1005" s="171"/>
      <c r="D1005" s="171"/>
      <c r="E1005" s="171"/>
      <c r="F1005" s="171"/>
      <c r="G1005" s="171"/>
      <c r="H1005" s="171"/>
    </row>
    <row r="1006" spans="1:8">
      <c r="A1006" s="170"/>
      <c r="B1006" s="171"/>
      <c r="C1006" s="171"/>
      <c r="D1006" s="171"/>
      <c r="E1006" s="171"/>
      <c r="F1006" s="171"/>
      <c r="G1006" s="171"/>
      <c r="H1006" s="171"/>
    </row>
    <row r="1007" spans="1:8">
      <c r="A1007" s="170"/>
      <c r="B1007" s="171"/>
      <c r="C1007" s="171"/>
      <c r="D1007" s="171"/>
      <c r="E1007" s="171"/>
      <c r="F1007" s="171"/>
      <c r="G1007" s="171"/>
      <c r="H1007" s="171"/>
    </row>
    <row r="1008" spans="1:8">
      <c r="A1008" s="170"/>
      <c r="B1008" s="171"/>
      <c r="C1008" s="171"/>
      <c r="D1008" s="171"/>
      <c r="E1008" s="171"/>
      <c r="F1008" s="171"/>
      <c r="G1008" s="171"/>
      <c r="H1008" s="171"/>
    </row>
    <row r="1009" spans="1:8">
      <c r="A1009" s="170"/>
      <c r="B1009" s="171"/>
      <c r="C1009" s="171"/>
      <c r="D1009" s="171"/>
      <c r="E1009" s="171"/>
      <c r="F1009" s="171"/>
      <c r="G1009" s="171"/>
      <c r="H1009" s="171"/>
    </row>
    <row r="1010" spans="1:8">
      <c r="A1010" s="170"/>
      <c r="B1010" s="171"/>
      <c r="C1010" s="171"/>
      <c r="D1010" s="171"/>
      <c r="E1010" s="171"/>
      <c r="F1010" s="171"/>
      <c r="G1010" s="171"/>
      <c r="H1010" s="171"/>
    </row>
    <row r="1011" spans="1:8">
      <c r="A1011" s="170"/>
      <c r="B1011" s="171"/>
      <c r="C1011" s="171"/>
      <c r="D1011" s="171"/>
      <c r="E1011" s="171"/>
      <c r="F1011" s="171"/>
      <c r="G1011" s="171"/>
      <c r="H1011" s="171"/>
    </row>
    <row r="1012" spans="1:8">
      <c r="A1012" s="170"/>
      <c r="B1012" s="171"/>
      <c r="C1012" s="171"/>
      <c r="D1012" s="171"/>
      <c r="E1012" s="171"/>
      <c r="F1012" s="171"/>
      <c r="G1012" s="171"/>
      <c r="H1012" s="171"/>
    </row>
    <row r="1013" spans="1:8">
      <c r="A1013" s="170"/>
      <c r="B1013" s="171"/>
      <c r="C1013" s="171"/>
      <c r="D1013" s="171"/>
      <c r="E1013" s="171"/>
      <c r="F1013" s="171"/>
      <c r="G1013" s="171"/>
      <c r="H1013" s="171"/>
    </row>
    <row r="1014" spans="1:8">
      <c r="A1014" s="170"/>
      <c r="B1014" s="171"/>
      <c r="C1014" s="171"/>
      <c r="D1014" s="171"/>
      <c r="E1014" s="171"/>
      <c r="F1014" s="171"/>
      <c r="G1014" s="171"/>
      <c r="H1014" s="171"/>
    </row>
    <row r="1015" spans="1:8">
      <c r="A1015" s="170"/>
      <c r="B1015" s="171"/>
      <c r="C1015" s="171"/>
      <c r="D1015" s="171"/>
      <c r="E1015" s="171"/>
      <c r="F1015" s="171"/>
      <c r="G1015" s="171"/>
      <c r="H1015" s="171"/>
    </row>
    <row r="1016" spans="1:8">
      <c r="A1016" s="170"/>
      <c r="B1016" s="171"/>
      <c r="C1016" s="171"/>
      <c r="D1016" s="171"/>
      <c r="E1016" s="171"/>
      <c r="F1016" s="171"/>
      <c r="G1016" s="171"/>
      <c r="H1016" s="171"/>
    </row>
    <row r="1017" spans="1:8">
      <c r="A1017" s="170"/>
      <c r="B1017" s="171"/>
      <c r="C1017" s="171"/>
      <c r="D1017" s="171"/>
      <c r="E1017" s="171"/>
      <c r="F1017" s="171"/>
      <c r="G1017" s="171"/>
      <c r="H1017" s="171"/>
    </row>
    <row r="1018" spans="1:8">
      <c r="A1018" s="170"/>
      <c r="B1018" s="171"/>
      <c r="C1018" s="171"/>
      <c r="D1018" s="171"/>
      <c r="E1018" s="171"/>
      <c r="F1018" s="171"/>
      <c r="G1018" s="171"/>
      <c r="H1018" s="171"/>
    </row>
    <row r="1019" spans="1:8">
      <c r="A1019" s="170"/>
      <c r="B1019" s="171"/>
      <c r="C1019" s="171"/>
      <c r="D1019" s="171"/>
      <c r="E1019" s="171"/>
      <c r="F1019" s="171"/>
      <c r="G1019" s="171"/>
      <c r="H1019" s="171"/>
    </row>
    <row r="1020" spans="1:8">
      <c r="A1020" s="170"/>
      <c r="B1020" s="171"/>
      <c r="C1020" s="171"/>
      <c r="D1020" s="171"/>
      <c r="E1020" s="171"/>
      <c r="F1020" s="171"/>
      <c r="G1020" s="171"/>
      <c r="H1020" s="171"/>
    </row>
    <row r="1021" spans="1:8">
      <c r="A1021" s="170"/>
      <c r="B1021" s="171"/>
      <c r="C1021" s="171"/>
      <c r="D1021" s="171"/>
      <c r="E1021" s="171"/>
      <c r="F1021" s="171"/>
      <c r="G1021" s="171"/>
      <c r="H1021" s="171"/>
    </row>
    <row r="1022" spans="1:8">
      <c r="A1022" s="170"/>
      <c r="B1022" s="171"/>
      <c r="C1022" s="171"/>
      <c r="D1022" s="171"/>
      <c r="E1022" s="171"/>
      <c r="F1022" s="171"/>
      <c r="G1022" s="171"/>
      <c r="H1022" s="171"/>
    </row>
    <row r="1023" spans="1:8">
      <c r="A1023" s="170"/>
      <c r="B1023" s="171"/>
      <c r="C1023" s="171"/>
      <c r="D1023" s="171"/>
      <c r="E1023" s="171"/>
      <c r="F1023" s="171"/>
      <c r="G1023" s="171"/>
      <c r="H1023" s="171"/>
    </row>
    <row r="1024" spans="1:8">
      <c r="A1024" s="170"/>
      <c r="B1024" s="171"/>
      <c r="C1024" s="171"/>
      <c r="D1024" s="171"/>
      <c r="E1024" s="171"/>
      <c r="F1024" s="171"/>
      <c r="G1024" s="171"/>
      <c r="H1024" s="171"/>
    </row>
    <row r="1025" spans="1:8">
      <c r="A1025" s="170"/>
      <c r="B1025" s="171"/>
      <c r="C1025" s="171"/>
      <c r="D1025" s="171"/>
      <c r="E1025" s="171"/>
      <c r="F1025" s="171"/>
      <c r="G1025" s="171"/>
      <c r="H1025" s="171"/>
    </row>
    <row r="1026" spans="1:8">
      <c r="A1026" s="170"/>
      <c r="B1026" s="171"/>
      <c r="C1026" s="171"/>
      <c r="D1026" s="171"/>
      <c r="E1026" s="171"/>
      <c r="F1026" s="171"/>
      <c r="G1026" s="171"/>
      <c r="H1026" s="171"/>
    </row>
    <row r="1027" spans="1:8">
      <c r="A1027" s="170"/>
      <c r="B1027" s="171"/>
      <c r="C1027" s="171"/>
      <c r="D1027" s="171"/>
      <c r="E1027" s="171"/>
      <c r="F1027" s="171"/>
      <c r="G1027" s="171"/>
      <c r="H1027" s="171"/>
    </row>
    <row r="1028" spans="1:8">
      <c r="A1028" s="170"/>
      <c r="B1028" s="171"/>
      <c r="C1028" s="171"/>
      <c r="D1028" s="171"/>
      <c r="E1028" s="171"/>
      <c r="F1028" s="171"/>
      <c r="G1028" s="171"/>
      <c r="H1028" s="171"/>
    </row>
    <row r="1029" spans="1:8">
      <c r="A1029" s="170"/>
      <c r="B1029" s="171"/>
      <c r="C1029" s="171"/>
      <c r="D1029" s="171"/>
      <c r="E1029" s="171"/>
      <c r="F1029" s="171"/>
      <c r="G1029" s="171"/>
      <c r="H1029" s="171"/>
    </row>
    <row r="1030" spans="1:8">
      <c r="A1030" s="170"/>
      <c r="B1030" s="171"/>
      <c r="C1030" s="171"/>
      <c r="D1030" s="171"/>
      <c r="E1030" s="171"/>
      <c r="F1030" s="171"/>
      <c r="G1030" s="171"/>
      <c r="H1030" s="171"/>
    </row>
    <row r="1031" spans="1:8">
      <c r="A1031" s="170"/>
      <c r="B1031" s="171"/>
      <c r="C1031" s="171"/>
      <c r="D1031" s="171"/>
      <c r="E1031" s="171"/>
      <c r="F1031" s="171"/>
      <c r="G1031" s="171"/>
      <c r="H1031" s="171"/>
    </row>
    <row r="1032" spans="1:8">
      <c r="A1032" s="170"/>
      <c r="B1032" s="171"/>
      <c r="C1032" s="171"/>
      <c r="D1032" s="171"/>
      <c r="E1032" s="171"/>
      <c r="F1032" s="171"/>
      <c r="G1032" s="171"/>
      <c r="H1032" s="171"/>
    </row>
    <row r="1033" spans="1:8">
      <c r="A1033" s="170"/>
      <c r="B1033" s="171"/>
      <c r="C1033" s="171"/>
      <c r="D1033" s="171"/>
      <c r="E1033" s="171"/>
      <c r="F1033" s="171"/>
      <c r="G1033" s="171"/>
      <c r="H1033" s="171"/>
    </row>
    <row r="1034" spans="1:8">
      <c r="A1034" s="170"/>
      <c r="B1034" s="171"/>
      <c r="C1034" s="171"/>
      <c r="D1034" s="171"/>
      <c r="E1034" s="171"/>
      <c r="F1034" s="171"/>
      <c r="G1034" s="171"/>
      <c r="H1034" s="171"/>
    </row>
    <row r="1035" spans="1:8">
      <c r="A1035" s="170"/>
      <c r="B1035" s="171"/>
      <c r="C1035" s="171"/>
      <c r="D1035" s="171"/>
      <c r="E1035" s="171"/>
      <c r="F1035" s="171"/>
      <c r="G1035" s="171"/>
      <c r="H1035" s="171"/>
    </row>
    <row r="1036" spans="1:8">
      <c r="A1036" s="170"/>
      <c r="B1036" s="171"/>
      <c r="C1036" s="171"/>
      <c r="D1036" s="171"/>
      <c r="E1036" s="171"/>
      <c r="F1036" s="171"/>
      <c r="G1036" s="171"/>
      <c r="H1036" s="171"/>
    </row>
    <row r="1037" spans="1:8">
      <c r="A1037" s="170"/>
      <c r="B1037" s="171"/>
      <c r="C1037" s="171"/>
      <c r="D1037" s="171"/>
      <c r="E1037" s="171"/>
      <c r="F1037" s="171"/>
      <c r="G1037" s="171"/>
      <c r="H1037" s="171"/>
    </row>
    <row r="1038" spans="1:8">
      <c r="A1038" s="170"/>
      <c r="B1038" s="171"/>
      <c r="C1038" s="171"/>
      <c r="D1038" s="171"/>
      <c r="E1038" s="171"/>
      <c r="F1038" s="171"/>
      <c r="G1038" s="171"/>
      <c r="H1038" s="171"/>
    </row>
    <row r="1039" spans="1:8">
      <c r="A1039" s="170"/>
      <c r="B1039" s="171"/>
      <c r="C1039" s="171"/>
      <c r="D1039" s="171"/>
      <c r="E1039" s="171"/>
      <c r="F1039" s="171"/>
      <c r="G1039" s="171"/>
      <c r="H1039" s="171"/>
    </row>
    <row r="1040" spans="1:8">
      <c r="A1040" s="170"/>
      <c r="B1040" s="171"/>
      <c r="C1040" s="171"/>
      <c r="D1040" s="171"/>
      <c r="E1040" s="171"/>
      <c r="F1040" s="171"/>
      <c r="G1040" s="171"/>
      <c r="H1040" s="171"/>
    </row>
    <row r="1041" spans="1:8">
      <c r="A1041" s="170"/>
      <c r="B1041" s="171"/>
      <c r="C1041" s="171"/>
      <c r="D1041" s="171"/>
      <c r="E1041" s="171"/>
      <c r="F1041" s="171"/>
      <c r="G1041" s="171"/>
      <c r="H1041" s="171"/>
    </row>
    <row r="1042" spans="1:8">
      <c r="A1042" s="170"/>
      <c r="B1042" s="171"/>
      <c r="C1042" s="171"/>
      <c r="D1042" s="171"/>
      <c r="E1042" s="171"/>
      <c r="F1042" s="171"/>
      <c r="G1042" s="171"/>
      <c r="H1042" s="171"/>
    </row>
    <row r="1043" spans="1:8">
      <c r="A1043" s="170"/>
      <c r="B1043" s="171"/>
      <c r="C1043" s="171"/>
      <c r="D1043" s="171"/>
      <c r="E1043" s="171"/>
      <c r="F1043" s="171"/>
      <c r="G1043" s="171"/>
      <c r="H1043" s="171"/>
    </row>
    <row r="1044" spans="1:8">
      <c r="A1044" s="170"/>
      <c r="B1044" s="171"/>
      <c r="C1044" s="171"/>
      <c r="D1044" s="171"/>
      <c r="E1044" s="171"/>
      <c r="F1044" s="171"/>
      <c r="G1044" s="171"/>
      <c r="H1044" s="171"/>
    </row>
    <row r="1045" spans="1:8">
      <c r="A1045" s="170"/>
      <c r="B1045" s="171"/>
      <c r="C1045" s="171"/>
      <c r="D1045" s="171"/>
      <c r="E1045" s="171"/>
      <c r="F1045" s="171"/>
      <c r="G1045" s="171"/>
      <c r="H1045" s="171"/>
    </row>
    <row r="1046" spans="1:8">
      <c r="A1046" s="170"/>
      <c r="B1046" s="171"/>
      <c r="C1046" s="171"/>
      <c r="D1046" s="171"/>
      <c r="E1046" s="171"/>
      <c r="F1046" s="171"/>
      <c r="G1046" s="171"/>
      <c r="H1046" s="171"/>
    </row>
    <row r="1047" spans="1:8">
      <c r="A1047" s="170"/>
      <c r="B1047" s="171"/>
      <c r="C1047" s="171"/>
      <c r="D1047" s="171"/>
      <c r="E1047" s="171"/>
      <c r="F1047" s="171"/>
      <c r="G1047" s="171"/>
      <c r="H1047" s="171"/>
    </row>
    <row r="1048" spans="1:8">
      <c r="A1048" s="170"/>
      <c r="B1048" s="171"/>
      <c r="C1048" s="171"/>
      <c r="D1048" s="171"/>
      <c r="E1048" s="171"/>
      <c r="F1048" s="171"/>
      <c r="G1048" s="171"/>
      <c r="H1048" s="171"/>
    </row>
    <row r="1049" spans="1:8">
      <c r="A1049" s="170"/>
      <c r="B1049" s="171"/>
      <c r="C1049" s="171"/>
      <c r="D1049" s="171"/>
      <c r="E1049" s="171"/>
      <c r="F1049" s="171"/>
      <c r="G1049" s="171"/>
      <c r="H1049" s="171"/>
    </row>
    <row r="1050" spans="1:8">
      <c r="A1050" s="170"/>
      <c r="B1050" s="171"/>
      <c r="C1050" s="171"/>
      <c r="D1050" s="171"/>
      <c r="E1050" s="171"/>
      <c r="F1050" s="171"/>
      <c r="G1050" s="171"/>
      <c r="H1050" s="171"/>
    </row>
    <row r="1051" spans="1:8">
      <c r="A1051" s="170"/>
      <c r="B1051" s="171"/>
      <c r="C1051" s="171"/>
      <c r="D1051" s="171"/>
      <c r="E1051" s="171"/>
      <c r="F1051" s="171"/>
      <c r="G1051" s="171"/>
      <c r="H1051" s="171"/>
    </row>
    <row r="1052" spans="1:8">
      <c r="A1052" s="170"/>
      <c r="B1052" s="171"/>
      <c r="C1052" s="171"/>
      <c r="D1052" s="171"/>
      <c r="E1052" s="171"/>
      <c r="F1052" s="171"/>
      <c r="G1052" s="171"/>
      <c r="H1052" s="171"/>
    </row>
    <row r="1053" spans="1:8">
      <c r="A1053" s="170"/>
      <c r="B1053" s="171"/>
      <c r="C1053" s="171"/>
      <c r="D1053" s="171"/>
      <c r="E1053" s="171"/>
      <c r="F1053" s="171"/>
      <c r="G1053" s="171"/>
      <c r="H1053" s="171"/>
    </row>
    <row r="1054" spans="1:8">
      <c r="A1054" s="170"/>
      <c r="B1054" s="171"/>
      <c r="C1054" s="171"/>
      <c r="D1054" s="171"/>
      <c r="E1054" s="171"/>
      <c r="F1054" s="171"/>
      <c r="G1054" s="171"/>
      <c r="H1054" s="171"/>
    </row>
    <row r="1055" spans="1:8">
      <c r="A1055" s="170"/>
      <c r="B1055" s="171"/>
      <c r="C1055" s="171"/>
      <c r="D1055" s="171"/>
      <c r="E1055" s="171"/>
      <c r="F1055" s="171"/>
      <c r="G1055" s="171"/>
      <c r="H1055" s="171"/>
    </row>
    <row r="1056" spans="1:8">
      <c r="A1056" s="170"/>
      <c r="B1056" s="171"/>
      <c r="C1056" s="171"/>
      <c r="D1056" s="171"/>
      <c r="E1056" s="171"/>
      <c r="F1056" s="171"/>
      <c r="G1056" s="171"/>
      <c r="H1056" s="171"/>
    </row>
    <row r="1057" spans="1:8">
      <c r="A1057" s="170"/>
      <c r="B1057" s="171"/>
      <c r="C1057" s="171"/>
      <c r="D1057" s="171"/>
      <c r="E1057" s="171"/>
      <c r="F1057" s="171"/>
      <c r="G1057" s="171"/>
      <c r="H1057" s="171"/>
    </row>
    <row r="1058" spans="1:8">
      <c r="A1058" s="170"/>
      <c r="B1058" s="171"/>
      <c r="C1058" s="171"/>
      <c r="D1058" s="171"/>
      <c r="E1058" s="171"/>
      <c r="F1058" s="171"/>
      <c r="G1058" s="171"/>
      <c r="H1058" s="171"/>
    </row>
    <row r="1059" spans="1:8">
      <c r="A1059" s="170"/>
      <c r="B1059" s="171"/>
      <c r="C1059" s="171"/>
      <c r="D1059" s="171"/>
      <c r="E1059" s="171"/>
      <c r="F1059" s="171"/>
      <c r="G1059" s="171"/>
      <c r="H1059" s="171"/>
    </row>
    <row r="1060" spans="1:8">
      <c r="A1060" s="170"/>
      <c r="B1060" s="171"/>
      <c r="C1060" s="171"/>
      <c r="D1060" s="171"/>
      <c r="E1060" s="171"/>
      <c r="F1060" s="171"/>
      <c r="G1060" s="171"/>
      <c r="H1060" s="171"/>
    </row>
    <row r="1061" spans="1:8">
      <c r="A1061" s="170"/>
      <c r="B1061" s="171"/>
      <c r="C1061" s="171"/>
      <c r="D1061" s="171"/>
      <c r="E1061" s="171"/>
      <c r="F1061" s="171"/>
      <c r="G1061" s="171"/>
      <c r="H1061" s="171"/>
    </row>
    <row r="1062" spans="1:8">
      <c r="A1062" s="170"/>
      <c r="B1062" s="171"/>
      <c r="C1062" s="171"/>
      <c r="D1062" s="171"/>
      <c r="E1062" s="171"/>
      <c r="F1062" s="171"/>
      <c r="G1062" s="171"/>
      <c r="H1062" s="171"/>
    </row>
    <row r="1063" spans="1:8">
      <c r="A1063" s="170"/>
      <c r="B1063" s="171"/>
      <c r="C1063" s="171"/>
      <c r="D1063" s="171"/>
      <c r="E1063" s="171"/>
      <c r="F1063" s="171"/>
      <c r="G1063" s="171"/>
      <c r="H1063" s="171"/>
    </row>
    <row r="1064" spans="1:8">
      <c r="A1064" s="170"/>
      <c r="B1064" s="171"/>
      <c r="C1064" s="171"/>
      <c r="D1064" s="171"/>
      <c r="E1064" s="171"/>
      <c r="F1064" s="171"/>
      <c r="G1064" s="171"/>
      <c r="H1064" s="171"/>
    </row>
    <row r="1065" spans="1:8">
      <c r="A1065" s="170"/>
      <c r="B1065" s="171"/>
      <c r="C1065" s="171"/>
      <c r="D1065" s="171"/>
      <c r="E1065" s="171"/>
      <c r="F1065" s="171"/>
      <c r="G1065" s="171"/>
      <c r="H1065" s="171"/>
    </row>
    <row r="1066" spans="1:8">
      <c r="A1066" s="170"/>
      <c r="B1066" s="171"/>
      <c r="C1066" s="171"/>
      <c r="D1066" s="171"/>
      <c r="E1066" s="171"/>
      <c r="F1066" s="171"/>
      <c r="G1066" s="171"/>
      <c r="H1066" s="171"/>
    </row>
    <row r="1067" spans="1:8">
      <c r="A1067" s="170"/>
      <c r="B1067" s="171"/>
      <c r="C1067" s="171"/>
      <c r="D1067" s="171"/>
      <c r="E1067" s="171"/>
      <c r="F1067" s="171"/>
      <c r="G1067" s="171"/>
      <c r="H1067" s="171"/>
    </row>
    <row r="1068" spans="1:8">
      <c r="A1068" s="170"/>
      <c r="B1068" s="171"/>
      <c r="C1068" s="171"/>
      <c r="D1068" s="171"/>
      <c r="E1068" s="171"/>
      <c r="F1068" s="171"/>
      <c r="G1068" s="171"/>
      <c r="H1068" s="171"/>
    </row>
    <row r="1069" spans="1:8">
      <c r="A1069" s="170"/>
      <c r="B1069" s="171"/>
      <c r="C1069" s="171"/>
      <c r="D1069" s="171"/>
      <c r="E1069" s="171"/>
      <c r="F1069" s="171"/>
      <c r="G1069" s="171"/>
      <c r="H1069" s="171"/>
    </row>
    <row r="1070" spans="1:8">
      <c r="A1070" s="170"/>
      <c r="B1070" s="171"/>
      <c r="C1070" s="171"/>
      <c r="D1070" s="171"/>
      <c r="E1070" s="171"/>
      <c r="F1070" s="171"/>
      <c r="G1070" s="171"/>
      <c r="H1070" s="171"/>
    </row>
    <row r="1071" spans="1:8">
      <c r="A1071" s="170"/>
      <c r="B1071" s="171"/>
      <c r="C1071" s="171"/>
      <c r="D1071" s="171"/>
      <c r="E1071" s="171"/>
      <c r="F1071" s="171"/>
      <c r="G1071" s="171"/>
      <c r="H1071" s="171"/>
    </row>
    <row r="1072" spans="1:8">
      <c r="A1072" s="170"/>
      <c r="B1072" s="171"/>
      <c r="C1072" s="171"/>
      <c r="D1072" s="171"/>
      <c r="E1072" s="171"/>
      <c r="F1072" s="171"/>
      <c r="G1072" s="171"/>
      <c r="H1072" s="171"/>
    </row>
    <row r="1073" spans="1:8">
      <c r="A1073" s="170"/>
      <c r="B1073" s="171"/>
      <c r="C1073" s="171"/>
      <c r="D1073" s="171"/>
      <c r="E1073" s="171"/>
      <c r="F1073" s="171"/>
      <c r="G1073" s="171"/>
      <c r="H1073" s="171"/>
    </row>
    <row r="1074" spans="1:8">
      <c r="A1074" s="170"/>
      <c r="B1074" s="171"/>
      <c r="C1074" s="171"/>
      <c r="D1074" s="171"/>
      <c r="E1074" s="171"/>
      <c r="F1074" s="171"/>
      <c r="G1074" s="171"/>
      <c r="H1074" s="171"/>
    </row>
    <row r="1075" spans="1:8">
      <c r="A1075" s="170"/>
      <c r="B1075" s="171"/>
      <c r="C1075" s="171"/>
      <c r="D1075" s="171"/>
      <c r="E1075" s="171"/>
      <c r="F1075" s="171"/>
      <c r="G1075" s="171"/>
      <c r="H1075" s="171"/>
    </row>
    <row r="1076" spans="1:8">
      <c r="A1076" s="170"/>
      <c r="B1076" s="171"/>
      <c r="C1076" s="171"/>
      <c r="D1076" s="171"/>
      <c r="E1076" s="171"/>
      <c r="F1076" s="171"/>
      <c r="G1076" s="171"/>
      <c r="H1076" s="171"/>
    </row>
    <row r="1077" spans="1:8">
      <c r="A1077" s="170"/>
      <c r="B1077" s="171"/>
      <c r="C1077" s="171"/>
      <c r="D1077" s="171"/>
      <c r="E1077" s="171"/>
      <c r="F1077" s="171"/>
      <c r="G1077" s="171"/>
      <c r="H1077" s="171"/>
    </row>
    <row r="1078" spans="1:8">
      <c r="A1078" s="170"/>
      <c r="B1078" s="171"/>
      <c r="C1078" s="171"/>
      <c r="D1078" s="171"/>
      <c r="E1078" s="171"/>
      <c r="F1078" s="171"/>
      <c r="G1078" s="171"/>
      <c r="H1078" s="171"/>
    </row>
    <row r="1079" spans="1:8">
      <c r="A1079" s="170"/>
      <c r="B1079" s="171"/>
      <c r="C1079" s="171"/>
      <c r="D1079" s="171"/>
      <c r="E1079" s="171"/>
      <c r="F1079" s="171"/>
      <c r="G1079" s="171"/>
      <c r="H1079" s="171"/>
    </row>
    <row r="1080" spans="1:8">
      <c r="A1080" s="170"/>
      <c r="B1080" s="171"/>
      <c r="C1080" s="171"/>
      <c r="D1080" s="171"/>
      <c r="E1080" s="171"/>
      <c r="F1080" s="171"/>
      <c r="G1080" s="171"/>
      <c r="H1080" s="171"/>
    </row>
    <row r="1081" spans="1:8">
      <c r="A1081" s="170"/>
      <c r="B1081" s="171"/>
      <c r="C1081" s="171"/>
      <c r="D1081" s="171"/>
      <c r="E1081" s="171"/>
      <c r="F1081" s="171"/>
      <c r="G1081" s="171"/>
      <c r="H1081" s="171"/>
    </row>
    <row r="1082" spans="1:8">
      <c r="A1082" s="170"/>
      <c r="B1082" s="171"/>
      <c r="C1082" s="171"/>
      <c r="D1082" s="171"/>
      <c r="E1082" s="171"/>
      <c r="F1082" s="171"/>
      <c r="G1082" s="171"/>
      <c r="H1082" s="171"/>
    </row>
    <row r="1083" spans="1:8">
      <c r="A1083" s="170"/>
      <c r="B1083" s="171"/>
      <c r="C1083" s="171"/>
      <c r="D1083" s="171"/>
      <c r="E1083" s="171"/>
      <c r="F1083" s="171"/>
      <c r="G1083" s="171"/>
      <c r="H1083" s="171"/>
    </row>
    <row r="1084" spans="1:8">
      <c r="A1084" s="170"/>
      <c r="B1084" s="171"/>
      <c r="C1084" s="171"/>
      <c r="D1084" s="171"/>
      <c r="E1084" s="171"/>
      <c r="F1084" s="171"/>
      <c r="G1084" s="171"/>
      <c r="H1084" s="171"/>
    </row>
    <row r="1085" spans="1:8">
      <c r="A1085" s="170"/>
      <c r="B1085" s="171"/>
      <c r="C1085" s="171"/>
      <c r="D1085" s="171"/>
      <c r="E1085" s="171"/>
      <c r="F1085" s="171"/>
      <c r="G1085" s="171"/>
      <c r="H1085" s="171"/>
    </row>
    <row r="1086" spans="1:8">
      <c r="A1086" s="170"/>
      <c r="B1086" s="171"/>
      <c r="C1086" s="171"/>
      <c r="D1086" s="171"/>
      <c r="E1086" s="171"/>
      <c r="F1086" s="171"/>
      <c r="G1086" s="171"/>
      <c r="H1086" s="171"/>
    </row>
    <row r="1087" spans="1:8">
      <c r="A1087" s="170"/>
      <c r="B1087" s="171"/>
      <c r="C1087" s="171"/>
      <c r="D1087" s="171"/>
      <c r="E1087" s="171"/>
      <c r="F1087" s="171"/>
      <c r="G1087" s="171"/>
      <c r="H1087" s="171"/>
    </row>
    <row r="1088" spans="1:8">
      <c r="A1088" s="170"/>
      <c r="B1088" s="171"/>
      <c r="C1088" s="171"/>
      <c r="D1088" s="171"/>
      <c r="E1088" s="171"/>
      <c r="F1088" s="171"/>
      <c r="G1088" s="171"/>
      <c r="H1088" s="171"/>
    </row>
    <row r="1089" spans="1:8">
      <c r="A1089" s="170"/>
      <c r="B1089" s="171"/>
      <c r="C1089" s="171"/>
      <c r="D1089" s="171"/>
      <c r="E1089" s="171"/>
      <c r="F1089" s="171"/>
      <c r="G1089" s="171"/>
      <c r="H1089" s="171"/>
    </row>
    <row r="1090" spans="1:8">
      <c r="A1090" s="170"/>
      <c r="B1090" s="171"/>
      <c r="C1090" s="171"/>
      <c r="D1090" s="171"/>
      <c r="E1090" s="171"/>
      <c r="F1090" s="171"/>
      <c r="G1090" s="171"/>
      <c r="H1090" s="171"/>
    </row>
    <row r="1091" spans="1:8">
      <c r="A1091" s="170"/>
      <c r="B1091" s="171"/>
      <c r="C1091" s="171"/>
      <c r="D1091" s="171"/>
      <c r="E1091" s="171"/>
      <c r="F1091" s="171"/>
      <c r="G1091" s="171"/>
      <c r="H1091" s="171"/>
    </row>
    <row r="1092" spans="1:8">
      <c r="A1092" s="170"/>
      <c r="B1092" s="171"/>
      <c r="C1092" s="171"/>
      <c r="D1092" s="171"/>
      <c r="E1092" s="171"/>
      <c r="F1092" s="171"/>
      <c r="G1092" s="171"/>
      <c r="H1092" s="171"/>
    </row>
    <row r="1093" spans="1:8">
      <c r="A1093" s="170"/>
      <c r="B1093" s="171"/>
      <c r="C1093" s="171"/>
      <c r="D1093" s="171"/>
      <c r="E1093" s="171"/>
      <c r="F1093" s="171"/>
      <c r="G1093" s="171"/>
      <c r="H1093" s="171"/>
    </row>
    <row r="1094" spans="1:8">
      <c r="A1094" s="170"/>
      <c r="B1094" s="171"/>
      <c r="C1094" s="171"/>
      <c r="D1094" s="171"/>
      <c r="E1094" s="171"/>
      <c r="F1094" s="171"/>
      <c r="G1094" s="171"/>
      <c r="H1094" s="171"/>
    </row>
    <row r="1095" spans="1:8">
      <c r="A1095" s="170"/>
      <c r="B1095" s="171"/>
      <c r="C1095" s="171"/>
      <c r="D1095" s="171"/>
      <c r="E1095" s="171"/>
      <c r="F1095" s="171"/>
      <c r="G1095" s="171"/>
      <c r="H1095" s="171"/>
    </row>
    <row r="1096" spans="1:8">
      <c r="A1096" s="170"/>
      <c r="B1096" s="171"/>
      <c r="C1096" s="171"/>
      <c r="D1096" s="171"/>
      <c r="E1096" s="171"/>
      <c r="F1096" s="171"/>
      <c r="G1096" s="171"/>
      <c r="H1096" s="171"/>
    </row>
    <row r="1097" spans="1:8">
      <c r="A1097" s="170"/>
      <c r="B1097" s="171"/>
      <c r="C1097" s="171"/>
      <c r="D1097" s="171"/>
      <c r="E1097" s="171"/>
      <c r="F1097" s="171"/>
      <c r="G1097" s="171"/>
      <c r="H1097" s="171"/>
    </row>
    <row r="1098" spans="1:8">
      <c r="A1098" s="170"/>
      <c r="B1098" s="171"/>
      <c r="C1098" s="171"/>
      <c r="D1098" s="171"/>
      <c r="E1098" s="171"/>
      <c r="F1098" s="171"/>
      <c r="G1098" s="171"/>
      <c r="H1098" s="171"/>
    </row>
    <row r="1099" spans="1:8">
      <c r="A1099" s="170"/>
      <c r="B1099" s="171"/>
      <c r="C1099" s="171"/>
      <c r="D1099" s="171"/>
      <c r="E1099" s="171"/>
      <c r="F1099" s="171"/>
      <c r="G1099" s="171"/>
      <c r="H1099" s="171"/>
    </row>
    <row r="1100" spans="1:8">
      <c r="A1100" s="170"/>
      <c r="B1100" s="171"/>
      <c r="C1100" s="171"/>
      <c r="D1100" s="171"/>
      <c r="E1100" s="171"/>
      <c r="F1100" s="171"/>
      <c r="G1100" s="171"/>
      <c r="H1100" s="171"/>
    </row>
    <row r="1101" spans="1:8">
      <c r="A1101" s="170"/>
      <c r="B1101" s="171"/>
      <c r="C1101" s="171"/>
      <c r="D1101" s="171"/>
      <c r="E1101" s="171"/>
      <c r="F1101" s="171"/>
      <c r="G1101" s="171"/>
      <c r="H1101" s="171"/>
    </row>
    <row r="1102" spans="1:8">
      <c r="A1102" s="170"/>
      <c r="B1102" s="171"/>
      <c r="C1102" s="171"/>
      <c r="D1102" s="171"/>
      <c r="E1102" s="171"/>
      <c r="F1102" s="171"/>
      <c r="G1102" s="171"/>
      <c r="H1102" s="171"/>
    </row>
    <row r="1103" spans="1:8">
      <c r="A1103" s="170"/>
      <c r="B1103" s="171"/>
      <c r="C1103" s="171"/>
      <c r="D1103" s="171"/>
      <c r="E1103" s="171"/>
      <c r="F1103" s="171"/>
      <c r="G1103" s="171"/>
      <c r="H1103" s="171"/>
    </row>
    <row r="1104" spans="1:8">
      <c r="A1104" s="170"/>
      <c r="B1104" s="171"/>
      <c r="C1104" s="171"/>
      <c r="D1104" s="171"/>
      <c r="E1104" s="171"/>
      <c r="F1104" s="171"/>
      <c r="G1104" s="171"/>
      <c r="H1104" s="171"/>
    </row>
    <row r="1105" spans="1:8">
      <c r="A1105" s="170"/>
      <c r="B1105" s="171"/>
      <c r="C1105" s="171"/>
      <c r="D1105" s="171"/>
      <c r="E1105" s="171"/>
      <c r="F1105" s="171"/>
      <c r="G1105" s="171"/>
      <c r="H1105" s="171"/>
    </row>
    <row r="1106" spans="1:8">
      <c r="A1106" s="170"/>
      <c r="B1106" s="171"/>
      <c r="C1106" s="171"/>
      <c r="D1106" s="171"/>
      <c r="E1106" s="171"/>
      <c r="F1106" s="171"/>
      <c r="G1106" s="171"/>
      <c r="H1106" s="171"/>
    </row>
    <row r="1107" spans="1:8">
      <c r="A1107" s="170"/>
      <c r="B1107" s="171"/>
      <c r="C1107" s="171"/>
      <c r="D1107" s="171"/>
      <c r="E1107" s="171"/>
      <c r="F1107" s="171"/>
      <c r="G1107" s="171"/>
      <c r="H1107" s="171"/>
    </row>
    <row r="1108" spans="1:8">
      <c r="A1108" s="170"/>
      <c r="B1108" s="171"/>
      <c r="C1108" s="171"/>
      <c r="D1108" s="171"/>
      <c r="E1108" s="171"/>
      <c r="F1108" s="171"/>
      <c r="G1108" s="171"/>
      <c r="H1108" s="171"/>
    </row>
    <row r="1109" spans="1:8">
      <c r="A1109" s="170"/>
      <c r="B1109" s="171"/>
      <c r="C1109" s="171"/>
      <c r="D1109" s="171"/>
      <c r="E1109" s="171"/>
      <c r="F1109" s="171"/>
      <c r="G1109" s="171"/>
      <c r="H1109" s="171"/>
    </row>
    <row r="1110" spans="1:8">
      <c r="A1110" s="170"/>
      <c r="B1110" s="171"/>
      <c r="C1110" s="171"/>
      <c r="D1110" s="171"/>
      <c r="E1110" s="171"/>
      <c r="F1110" s="171"/>
      <c r="G1110" s="171"/>
      <c r="H1110" s="171"/>
    </row>
    <row r="1111" spans="1:8">
      <c r="A1111" s="170"/>
      <c r="B1111" s="171"/>
      <c r="C1111" s="171"/>
      <c r="D1111" s="171"/>
      <c r="E1111" s="171"/>
      <c r="F1111" s="171"/>
      <c r="G1111" s="171"/>
      <c r="H1111" s="171"/>
    </row>
    <row r="1112" spans="1:8">
      <c r="A1112" s="170"/>
      <c r="B1112" s="171"/>
      <c r="C1112" s="171"/>
      <c r="D1112" s="171"/>
      <c r="E1112" s="171"/>
      <c r="F1112" s="171"/>
      <c r="G1112" s="171"/>
      <c r="H1112" s="171"/>
    </row>
    <row r="1113" spans="1:8">
      <c r="A1113" s="170"/>
      <c r="B1113" s="171"/>
      <c r="C1113" s="171"/>
      <c r="D1113" s="171"/>
      <c r="E1113" s="171"/>
      <c r="F1113" s="171"/>
      <c r="G1113" s="171"/>
      <c r="H1113" s="171"/>
    </row>
    <row r="1114" spans="1:8">
      <c r="A1114" s="170"/>
      <c r="B1114" s="171"/>
      <c r="C1114" s="171"/>
      <c r="D1114" s="171"/>
      <c r="E1114" s="171"/>
      <c r="F1114" s="171"/>
      <c r="G1114" s="171"/>
      <c r="H1114" s="171"/>
    </row>
    <row r="1115" spans="1:8">
      <c r="A1115" s="170"/>
      <c r="B1115" s="171"/>
      <c r="C1115" s="171"/>
      <c r="D1115" s="171"/>
      <c r="E1115" s="171"/>
      <c r="F1115" s="171"/>
      <c r="G1115" s="171"/>
      <c r="H1115" s="171"/>
    </row>
    <row r="1116" spans="1:8">
      <c r="A1116" s="170"/>
      <c r="B1116" s="171"/>
      <c r="C1116" s="171"/>
      <c r="D1116" s="171"/>
      <c r="E1116" s="171"/>
      <c r="F1116" s="171"/>
      <c r="G1116" s="171"/>
      <c r="H1116" s="171"/>
    </row>
    <row r="1117" spans="1:8">
      <c r="A1117" s="170"/>
      <c r="B1117" s="171"/>
      <c r="C1117" s="171"/>
      <c r="D1117" s="171"/>
      <c r="E1117" s="171"/>
      <c r="F1117" s="171"/>
      <c r="G1117" s="171"/>
      <c r="H1117" s="171"/>
    </row>
    <row r="1118" spans="1:8">
      <c r="A1118" s="170"/>
      <c r="B1118" s="171"/>
      <c r="C1118" s="171"/>
      <c r="D1118" s="171"/>
      <c r="E1118" s="171"/>
      <c r="F1118" s="171"/>
      <c r="G1118" s="171"/>
      <c r="H1118" s="171"/>
    </row>
    <row r="1119" spans="1:8">
      <c r="A1119" s="170"/>
      <c r="B1119" s="171"/>
      <c r="C1119" s="171"/>
      <c r="D1119" s="171"/>
      <c r="E1119" s="171"/>
      <c r="F1119" s="171"/>
      <c r="G1119" s="171"/>
      <c r="H1119" s="171"/>
    </row>
    <row r="1120" spans="1:8">
      <c r="A1120" s="170"/>
      <c r="B1120" s="171"/>
      <c r="C1120" s="171"/>
      <c r="D1120" s="171"/>
      <c r="E1120" s="171"/>
      <c r="F1120" s="171"/>
      <c r="G1120" s="171"/>
      <c r="H1120" s="171"/>
    </row>
    <row r="1121" spans="1:8">
      <c r="A1121" s="170"/>
      <c r="B1121" s="171"/>
      <c r="C1121" s="171"/>
      <c r="D1121" s="171"/>
      <c r="E1121" s="171"/>
      <c r="F1121" s="171"/>
      <c r="G1121" s="171"/>
      <c r="H1121" s="171"/>
    </row>
    <row r="1122" spans="1:8">
      <c r="A1122" s="170"/>
      <c r="B1122" s="171"/>
      <c r="C1122" s="171"/>
      <c r="D1122" s="171"/>
      <c r="E1122" s="171"/>
      <c r="F1122" s="171"/>
      <c r="G1122" s="171"/>
      <c r="H1122" s="171"/>
    </row>
    <row r="1123" spans="1:8">
      <c r="A1123" s="170"/>
      <c r="B1123" s="171"/>
      <c r="C1123" s="171"/>
      <c r="D1123" s="171"/>
      <c r="E1123" s="171"/>
      <c r="F1123" s="171"/>
      <c r="G1123" s="171"/>
      <c r="H1123" s="171"/>
    </row>
    <row r="1124" spans="1:8">
      <c r="A1124" s="170"/>
      <c r="B1124" s="171"/>
      <c r="C1124" s="171"/>
      <c r="D1124" s="171"/>
      <c r="E1124" s="171"/>
      <c r="F1124" s="171"/>
      <c r="G1124" s="171"/>
      <c r="H1124" s="171"/>
    </row>
    <row r="1125" spans="1:8">
      <c r="A1125" s="170"/>
      <c r="B1125" s="171"/>
      <c r="C1125" s="171"/>
      <c r="D1125" s="171"/>
      <c r="E1125" s="171"/>
      <c r="F1125" s="171"/>
      <c r="G1125" s="171"/>
      <c r="H1125" s="171"/>
    </row>
    <row r="1126" spans="1:8">
      <c r="A1126" s="170"/>
      <c r="B1126" s="171"/>
      <c r="C1126" s="171"/>
      <c r="D1126" s="171"/>
      <c r="E1126" s="171"/>
      <c r="F1126" s="171"/>
      <c r="G1126" s="171"/>
      <c r="H1126" s="171"/>
    </row>
    <row r="1127" spans="1:8">
      <c r="A1127" s="170"/>
      <c r="B1127" s="171"/>
      <c r="C1127" s="171"/>
      <c r="D1127" s="171"/>
      <c r="E1127" s="171"/>
      <c r="F1127" s="171"/>
      <c r="G1127" s="171"/>
      <c r="H1127" s="171"/>
    </row>
    <row r="1128" spans="1:8">
      <c r="A1128" s="170"/>
      <c r="B1128" s="171"/>
      <c r="C1128" s="171"/>
      <c r="D1128" s="171"/>
      <c r="E1128" s="171"/>
      <c r="F1128" s="171"/>
      <c r="G1128" s="171"/>
      <c r="H1128" s="171"/>
    </row>
    <row r="1129" spans="1:8">
      <c r="A1129" s="170"/>
      <c r="B1129" s="171"/>
      <c r="C1129" s="171"/>
      <c r="D1129" s="171"/>
      <c r="E1129" s="171"/>
      <c r="F1129" s="171"/>
      <c r="G1129" s="171"/>
      <c r="H1129" s="171"/>
    </row>
    <row r="1130" spans="1:8">
      <c r="A1130" s="170"/>
      <c r="B1130" s="171"/>
      <c r="C1130" s="171"/>
      <c r="D1130" s="171"/>
      <c r="E1130" s="171"/>
      <c r="F1130" s="171"/>
      <c r="G1130" s="171"/>
      <c r="H1130" s="171"/>
    </row>
    <row r="1131" spans="1:8">
      <c r="A1131" s="170"/>
      <c r="B1131" s="171"/>
      <c r="C1131" s="171"/>
      <c r="D1131" s="171"/>
      <c r="E1131" s="171"/>
      <c r="F1131" s="171"/>
      <c r="G1131" s="171"/>
      <c r="H1131" s="171"/>
    </row>
    <row r="1132" spans="1:8">
      <c r="A1132" s="170"/>
      <c r="B1132" s="171"/>
      <c r="C1132" s="171"/>
      <c r="D1132" s="171"/>
      <c r="E1132" s="171"/>
      <c r="F1132" s="171"/>
      <c r="G1132" s="171"/>
      <c r="H1132" s="171"/>
    </row>
    <row r="1133" spans="1:8">
      <c r="A1133" s="170"/>
      <c r="B1133" s="171"/>
      <c r="C1133" s="171"/>
      <c r="D1133" s="171"/>
      <c r="E1133" s="171"/>
      <c r="F1133" s="171"/>
      <c r="G1133" s="171"/>
      <c r="H1133" s="171"/>
    </row>
    <row r="1134" spans="1:8">
      <c r="A1134" s="170"/>
      <c r="B1134" s="171"/>
      <c r="C1134" s="171"/>
      <c r="D1134" s="171"/>
      <c r="E1134" s="171"/>
      <c r="F1134" s="171"/>
      <c r="G1134" s="171"/>
      <c r="H1134" s="171"/>
    </row>
    <row r="1135" spans="1:8">
      <c r="A1135" s="170"/>
      <c r="B1135" s="171"/>
      <c r="C1135" s="171"/>
      <c r="D1135" s="171"/>
      <c r="E1135" s="171"/>
      <c r="F1135" s="171"/>
      <c r="G1135" s="171"/>
      <c r="H1135" s="171"/>
    </row>
    <row r="1136" spans="1:8">
      <c r="A1136" s="170"/>
      <c r="B1136" s="171"/>
      <c r="C1136" s="171"/>
      <c r="D1136" s="171"/>
      <c r="E1136" s="171"/>
      <c r="F1136" s="171"/>
      <c r="G1136" s="171"/>
      <c r="H1136" s="171"/>
    </row>
    <row r="1137" spans="1:8">
      <c r="A1137" s="170"/>
      <c r="B1137" s="171"/>
      <c r="C1137" s="171"/>
      <c r="D1137" s="171"/>
      <c r="E1137" s="171"/>
      <c r="F1137" s="171"/>
      <c r="G1137" s="171"/>
      <c r="H1137" s="171"/>
    </row>
    <row r="1138" spans="1:8">
      <c r="A1138" s="170"/>
      <c r="B1138" s="171"/>
      <c r="C1138" s="171"/>
      <c r="D1138" s="171"/>
      <c r="E1138" s="171"/>
      <c r="F1138" s="171"/>
      <c r="G1138" s="171"/>
      <c r="H1138" s="171"/>
    </row>
    <row r="1139" spans="1:8">
      <c r="A1139" s="170"/>
      <c r="B1139" s="171"/>
      <c r="C1139" s="171"/>
      <c r="D1139" s="171"/>
      <c r="E1139" s="171"/>
      <c r="F1139" s="171"/>
      <c r="G1139" s="171"/>
      <c r="H1139" s="171"/>
    </row>
    <row r="1140" spans="1:8">
      <c r="A1140" s="170"/>
      <c r="B1140" s="171"/>
      <c r="C1140" s="171"/>
      <c r="D1140" s="171"/>
      <c r="E1140" s="171"/>
      <c r="F1140" s="171"/>
      <c r="G1140" s="171"/>
      <c r="H1140" s="171"/>
    </row>
    <row r="1141" spans="1:8">
      <c r="A1141" s="170"/>
      <c r="B1141" s="171"/>
      <c r="C1141" s="171"/>
      <c r="D1141" s="171"/>
      <c r="E1141" s="171"/>
      <c r="F1141" s="171"/>
      <c r="G1141" s="171"/>
      <c r="H1141" s="171"/>
    </row>
    <row r="1142" spans="1:8">
      <c r="A1142" s="170"/>
      <c r="B1142" s="171"/>
      <c r="C1142" s="171"/>
      <c r="D1142" s="171"/>
      <c r="E1142" s="171"/>
      <c r="F1142" s="171"/>
      <c r="G1142" s="171"/>
      <c r="H1142" s="171"/>
    </row>
    <row r="1143" spans="1:8">
      <c r="A1143" s="170"/>
      <c r="B1143" s="171"/>
      <c r="C1143" s="171"/>
      <c r="D1143" s="171"/>
      <c r="E1143" s="171"/>
      <c r="F1143" s="171"/>
      <c r="G1143" s="171"/>
      <c r="H1143" s="171"/>
    </row>
    <row r="1144" spans="1:8">
      <c r="A1144" s="170"/>
      <c r="B1144" s="171"/>
      <c r="C1144" s="171"/>
      <c r="D1144" s="171"/>
      <c r="E1144" s="171"/>
      <c r="F1144" s="171"/>
      <c r="G1144" s="171"/>
      <c r="H1144" s="171"/>
    </row>
    <row r="1145" spans="1:8">
      <c r="A1145" s="170"/>
      <c r="B1145" s="171"/>
      <c r="C1145" s="171"/>
      <c r="D1145" s="171"/>
      <c r="E1145" s="171"/>
      <c r="F1145" s="171"/>
      <c r="G1145" s="171"/>
      <c r="H1145" s="171"/>
    </row>
    <row r="1146" spans="1:8">
      <c r="A1146" s="170"/>
      <c r="B1146" s="171"/>
      <c r="C1146" s="171"/>
      <c r="D1146" s="171"/>
      <c r="E1146" s="171"/>
      <c r="F1146" s="171"/>
      <c r="G1146" s="171"/>
      <c r="H1146" s="171"/>
    </row>
    <row r="1147" spans="1:8">
      <c r="A1147" s="170"/>
      <c r="B1147" s="171"/>
      <c r="C1147" s="171"/>
      <c r="D1147" s="171"/>
      <c r="E1147" s="171"/>
      <c r="F1147" s="171"/>
      <c r="G1147" s="171"/>
      <c r="H1147" s="171"/>
    </row>
    <row r="1148" spans="1:8">
      <c r="A1148" s="170"/>
      <c r="B1148" s="171"/>
      <c r="C1148" s="171"/>
      <c r="D1148" s="171"/>
      <c r="E1148" s="171"/>
      <c r="F1148" s="171"/>
      <c r="G1148" s="171"/>
      <c r="H1148" s="171"/>
    </row>
    <row r="1149" spans="1:8">
      <c r="A1149" s="170"/>
      <c r="B1149" s="171"/>
      <c r="C1149" s="171"/>
      <c r="D1149" s="171"/>
      <c r="E1149" s="171"/>
      <c r="F1149" s="171"/>
      <c r="G1149" s="171"/>
      <c r="H1149" s="171"/>
    </row>
    <row r="1150" spans="1:8">
      <c r="A1150" s="170"/>
      <c r="B1150" s="171"/>
      <c r="C1150" s="171"/>
      <c r="D1150" s="171"/>
      <c r="E1150" s="171"/>
      <c r="F1150" s="171"/>
      <c r="G1150" s="171"/>
      <c r="H1150" s="171"/>
    </row>
    <row r="1151" spans="1:8">
      <c r="A1151" s="170"/>
      <c r="B1151" s="171"/>
      <c r="C1151" s="171"/>
      <c r="D1151" s="171"/>
      <c r="E1151" s="171"/>
      <c r="F1151" s="171"/>
      <c r="G1151" s="171"/>
      <c r="H1151" s="171"/>
    </row>
    <row r="1152" spans="1:8">
      <c r="A1152" s="170"/>
      <c r="B1152" s="171"/>
      <c r="C1152" s="171"/>
      <c r="D1152" s="171"/>
      <c r="E1152" s="171"/>
      <c r="F1152" s="171"/>
      <c r="G1152" s="171"/>
      <c r="H1152" s="171"/>
    </row>
    <row r="1153" spans="1:8">
      <c r="A1153" s="170"/>
      <c r="B1153" s="171"/>
      <c r="C1153" s="171"/>
      <c r="D1153" s="171"/>
      <c r="E1153" s="171"/>
      <c r="F1153" s="171"/>
      <c r="G1153" s="171"/>
      <c r="H1153" s="171"/>
    </row>
    <row r="1154" spans="1:8">
      <c r="A1154" s="170"/>
      <c r="B1154" s="171"/>
      <c r="C1154" s="171"/>
      <c r="D1154" s="171"/>
      <c r="E1154" s="171"/>
      <c r="F1154" s="171"/>
      <c r="G1154" s="171"/>
      <c r="H1154" s="171"/>
    </row>
    <row r="1155" spans="1:8">
      <c r="A1155" s="170"/>
      <c r="B1155" s="171"/>
      <c r="C1155" s="171"/>
      <c r="D1155" s="171"/>
      <c r="E1155" s="171"/>
      <c r="F1155" s="171"/>
      <c r="G1155" s="171"/>
      <c r="H1155" s="171"/>
    </row>
    <row r="1156" spans="1:8">
      <c r="A1156" s="170"/>
      <c r="B1156" s="171"/>
      <c r="C1156" s="171"/>
      <c r="D1156" s="171"/>
      <c r="E1156" s="171"/>
      <c r="F1156" s="171"/>
      <c r="G1156" s="171"/>
      <c r="H1156" s="171"/>
    </row>
    <row r="1157" spans="1:8">
      <c r="A1157" s="170"/>
      <c r="B1157" s="171"/>
      <c r="C1157" s="171"/>
      <c r="D1157" s="171"/>
      <c r="E1157" s="171"/>
      <c r="F1157" s="171"/>
      <c r="G1157" s="171"/>
      <c r="H1157" s="171"/>
    </row>
    <row r="1158" spans="1:8">
      <c r="A1158" s="170"/>
      <c r="B1158" s="171"/>
      <c r="C1158" s="171"/>
      <c r="D1158" s="171"/>
      <c r="E1158" s="171"/>
      <c r="F1158" s="171"/>
      <c r="G1158" s="171"/>
      <c r="H1158" s="171"/>
    </row>
    <row r="1159" spans="1:8">
      <c r="A1159" s="170"/>
      <c r="B1159" s="171"/>
      <c r="C1159" s="171"/>
      <c r="D1159" s="171"/>
      <c r="E1159" s="171"/>
      <c r="F1159" s="171"/>
      <c r="G1159" s="171"/>
      <c r="H1159" s="171"/>
    </row>
    <row r="1160" spans="1:8">
      <c r="A1160" s="170"/>
      <c r="B1160" s="171"/>
      <c r="C1160" s="171"/>
      <c r="D1160" s="171"/>
      <c r="E1160" s="171"/>
      <c r="F1160" s="171"/>
      <c r="G1160" s="171"/>
      <c r="H1160" s="171"/>
    </row>
  </sheetData>
  <mergeCells count="1">
    <mergeCell ref="C1:H1"/>
  </mergeCells>
  <conditionalFormatting sqref="C16:G375">
    <cfRule type="expression" dxfId="6" priority="5" stopIfTrue="1">
      <formula>NOT(Loan_Not_Paid)</formula>
    </cfRule>
    <cfRule type="expression" dxfId="5" priority="6" stopIfTrue="1">
      <formula>IF(ROW(C16)=Last_Row,TRUE,FALSE)</formula>
    </cfRule>
  </conditionalFormatting>
  <conditionalFormatting sqref="B16:B375">
    <cfRule type="expression" dxfId="4" priority="3" stopIfTrue="1">
      <formula>NOT(Loan_Not_Paid)</formula>
    </cfRule>
    <cfRule type="expression" dxfId="3" priority="4" stopIfTrue="1">
      <formula>IF(ROW(B16)=Last_Row,TRUE,FALSE)</formula>
    </cfRule>
  </conditionalFormatting>
  <conditionalFormatting sqref="H16:H375">
    <cfRule type="expression" dxfId="2" priority="1" stopIfTrue="1">
      <formula>NOT(Loan_Not_Paid)</formula>
    </cfRule>
    <cfRule type="expression" dxfId="1" priority="2" stopIfTrue="1">
      <formula>IF(ROW(H16)=Last_Row,TRUE,FALSE)</formula>
    </cfRule>
  </conditionalFormatting>
  <hyperlinks>
    <hyperlink ref="G3:H3" location="'Simulazione 8.0'!A1" display="Torna alla pagina dei calco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0"/>
  <sheetViews>
    <sheetView topLeftCell="A244" zoomScaleNormal="100" workbookViewId="0">
      <selection activeCell="I280" sqref="I280"/>
    </sheetView>
  </sheetViews>
  <sheetFormatPr defaultRowHeight="15"/>
  <cols>
    <col min="1" max="2" width="9.140625" style="6" customWidth="1"/>
    <col min="3" max="16" width="13.28515625" style="6" customWidth="1"/>
    <col min="17" max="17" width="13.28515625" style="61" customWidth="1"/>
    <col min="18" max="19" width="13.28515625" style="6" customWidth="1"/>
    <col min="20" max="20" width="13.28515625" style="418" customWidth="1"/>
    <col min="21" max="22" width="13.28515625" style="6" customWidth="1"/>
    <col min="23" max="24" width="9.140625" style="6"/>
    <col min="25" max="26" width="9.7109375" style="6" bestFit="1" customWidth="1"/>
    <col min="27" max="16384" width="9.140625" style="6"/>
  </cols>
  <sheetData>
    <row r="1" spans="1:27" s="1" customFormat="1" ht="18.75">
      <c r="A1" s="6">
        <v>0</v>
      </c>
      <c r="B1" s="6">
        <f>B2-1</f>
        <v>0</v>
      </c>
      <c r="D1" s="511">
        <v>1</v>
      </c>
      <c r="E1" s="2" t="s">
        <v>98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8.4'!C4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  <c r="T1" s="422"/>
    </row>
    <row r="2" spans="1:27">
      <c r="A2" s="6">
        <v>1</v>
      </c>
      <c r="B2" s="6">
        <v>1</v>
      </c>
      <c r="D2" s="512"/>
      <c r="E2" s="2" t="s">
        <v>99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507">
        <v>2</v>
      </c>
      <c r="V2" s="507"/>
      <c r="W2" s="507"/>
      <c r="X2" s="507"/>
      <c r="Y2" s="507"/>
      <c r="Z2" s="507"/>
      <c r="AA2" s="507"/>
    </row>
    <row r="3" spans="1:27">
      <c r="A3" s="6">
        <f>A2+1</f>
        <v>2</v>
      </c>
      <c r="D3" s="512"/>
      <c r="E3" s="2" t="s">
        <v>100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S3" s="6" t="b">
        <f>AND($L$1&gt;2,$H$9&gt;2,$K$1=1)</f>
        <v>0</v>
      </c>
      <c r="T3" s="418">
        <f>IF(S3=TRUE,Q3,0)</f>
        <v>0</v>
      </c>
      <c r="U3" s="507" t="s">
        <v>205</v>
      </c>
      <c r="V3" s="507"/>
      <c r="W3" s="507"/>
      <c r="X3" s="507"/>
      <c r="Y3" s="507"/>
      <c r="Z3" s="507"/>
      <c r="AA3" s="507"/>
    </row>
    <row r="4" spans="1:27">
      <c r="A4" s="6">
        <f t="shared" ref="A4:A67" si="1">A3+1</f>
        <v>3</v>
      </c>
      <c r="D4" s="512"/>
      <c r="E4" s="2" t="s">
        <v>101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2">IF(P4=TRUE,Q4,0)</f>
        <v>0</v>
      </c>
      <c r="U4" s="507" t="s">
        <v>91</v>
      </c>
      <c r="V4" s="507"/>
      <c r="W4" s="507"/>
      <c r="X4" s="507"/>
      <c r="Y4" s="507"/>
      <c r="Z4" s="507"/>
      <c r="AA4" s="507"/>
    </row>
    <row r="5" spans="1:27">
      <c r="A5" s="6">
        <f t="shared" si="1"/>
        <v>4</v>
      </c>
      <c r="D5" s="512"/>
      <c r="E5" s="2" t="s">
        <v>102</v>
      </c>
      <c r="F5" s="7"/>
      <c r="H5" s="17"/>
      <c r="P5" s="2" t="b">
        <f>AND($K$1=2,$L$1=1,$M$1&lt;=20)</f>
        <v>0</v>
      </c>
      <c r="Q5" s="5">
        <v>0</v>
      </c>
      <c r="R5" s="2">
        <f t="shared" si="2"/>
        <v>0</v>
      </c>
      <c r="U5" s="507"/>
      <c r="V5" s="507"/>
      <c r="W5" s="507"/>
      <c r="X5" s="507"/>
      <c r="Y5" s="507"/>
      <c r="Z5" s="507"/>
      <c r="AA5" s="507"/>
    </row>
    <row r="6" spans="1:27" ht="15.75" thickBot="1">
      <c r="A6" s="6">
        <f t="shared" si="1"/>
        <v>5</v>
      </c>
      <c r="E6" s="17" t="s">
        <v>149</v>
      </c>
      <c r="H6" s="17"/>
      <c r="P6" s="2" t="b">
        <f>AND($K$1=2,$L$1=2,$M$1&lt;=20)</f>
        <v>0</v>
      </c>
      <c r="Q6" s="18">
        <v>20</v>
      </c>
      <c r="R6" s="2">
        <f t="shared" si="2"/>
        <v>0</v>
      </c>
      <c r="U6" s="507">
        <f>IF(U2=1,20,0)</f>
        <v>0</v>
      </c>
      <c r="V6" s="507"/>
      <c r="W6" s="507"/>
      <c r="X6" s="507"/>
      <c r="Y6" s="507"/>
      <c r="Z6" s="507"/>
      <c r="AA6" s="507"/>
    </row>
    <row r="7" spans="1:27">
      <c r="A7" s="6">
        <f t="shared" si="1"/>
        <v>6</v>
      </c>
      <c r="D7" s="511">
        <v>1</v>
      </c>
      <c r="E7" s="15" t="s">
        <v>0</v>
      </c>
      <c r="F7" s="16"/>
      <c r="H7" s="23"/>
      <c r="I7" s="15" t="s">
        <v>274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2"/>
        <v>0</v>
      </c>
      <c r="S7" s="6" t="b">
        <f>AND($L$1&gt;2,$H$9&gt;2,$K$1=2)</f>
        <v>0</v>
      </c>
      <c r="T7" s="418">
        <f>IF(S7=TRUE,Q7,0)</f>
        <v>0</v>
      </c>
      <c r="U7" s="506"/>
      <c r="V7" s="506"/>
      <c r="W7" s="506"/>
      <c r="X7" s="506"/>
      <c r="Y7" s="506"/>
      <c r="Z7" s="506"/>
      <c r="AA7" s="506"/>
    </row>
    <row r="8" spans="1:27" ht="15.75" thickBot="1">
      <c r="A8" s="6">
        <f t="shared" si="1"/>
        <v>7</v>
      </c>
      <c r="D8" s="513"/>
      <c r="E8" s="19" t="s">
        <v>1</v>
      </c>
      <c r="F8" s="20"/>
      <c r="H8" s="22"/>
      <c r="I8" s="2" t="s">
        <v>273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2"/>
        <v>0</v>
      </c>
      <c r="U8" s="506"/>
      <c r="V8" s="506"/>
      <c r="W8" s="506"/>
      <c r="X8" s="506"/>
      <c r="Y8" s="506"/>
      <c r="Z8" s="506"/>
      <c r="AA8" s="506"/>
    </row>
    <row r="9" spans="1:27">
      <c r="A9" s="6">
        <f t="shared" si="1"/>
        <v>8</v>
      </c>
      <c r="H9" s="22">
        <v>1</v>
      </c>
      <c r="I9" s="2" t="s">
        <v>117</v>
      </c>
      <c r="J9" s="2"/>
      <c r="K9" s="2"/>
      <c r="L9" s="7"/>
      <c r="P9" s="2" t="b">
        <f>AND($K$1=3,$L$1=1,$M$1&lt;=20)</f>
        <v>0</v>
      </c>
      <c r="Q9" s="5">
        <v>0</v>
      </c>
      <c r="R9" s="2">
        <f t="shared" si="2"/>
        <v>0</v>
      </c>
      <c r="U9" s="506"/>
      <c r="V9" s="506"/>
      <c r="W9" s="506"/>
      <c r="X9" s="506"/>
      <c r="Y9" s="506"/>
      <c r="Z9" s="506"/>
      <c r="AA9" s="506"/>
    </row>
    <row r="10" spans="1:27" ht="15.75" thickBot="1">
      <c r="A10" s="6">
        <f t="shared" si="1"/>
        <v>9</v>
      </c>
      <c r="F10" s="21"/>
      <c r="G10" s="21"/>
      <c r="H10" s="412"/>
      <c r="I10" s="413" t="s">
        <v>1</v>
      </c>
      <c r="J10" s="414"/>
      <c r="K10" s="414"/>
      <c r="L10" s="415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2"/>
        <v>0</v>
      </c>
      <c r="U10" s="506"/>
      <c r="V10" s="506"/>
      <c r="W10" s="506"/>
      <c r="X10" s="506"/>
      <c r="Y10" s="506"/>
      <c r="Z10" s="506"/>
      <c r="AA10" s="506"/>
    </row>
    <row r="11" spans="1:27">
      <c r="A11" s="6">
        <f t="shared" si="1"/>
        <v>10</v>
      </c>
      <c r="D11" s="23"/>
      <c r="E11" s="15"/>
      <c r="F11" s="508" t="s">
        <v>4</v>
      </c>
      <c r="G11" s="509"/>
      <c r="H11" s="61"/>
      <c r="I11" s="61"/>
      <c r="J11" s="411"/>
      <c r="K11" s="2"/>
      <c r="L11" s="510" t="s">
        <v>5</v>
      </c>
      <c r="M11" s="509"/>
      <c r="N11" s="2"/>
      <c r="O11" s="2"/>
      <c r="P11" s="2" t="b">
        <f>AND($K$1=3,$L$1=3,$M$1&lt;=20)</f>
        <v>0</v>
      </c>
      <c r="Q11" s="18">
        <v>5</v>
      </c>
      <c r="R11" s="2">
        <f t="shared" si="2"/>
        <v>0</v>
      </c>
      <c r="S11" s="6" t="b">
        <f>AND($L$1&gt;2,$H$9&gt;2,$K$1=3)</f>
        <v>0</v>
      </c>
      <c r="T11" s="418">
        <f>IF(S11=TRUE,Q11,0)</f>
        <v>0</v>
      </c>
      <c r="U11" s="506"/>
      <c r="V11" s="506"/>
      <c r="W11" s="506"/>
      <c r="X11" s="506"/>
      <c r="Y11" s="506"/>
      <c r="Z11" s="506"/>
      <c r="AA11" s="506"/>
    </row>
    <row r="12" spans="1:27">
      <c r="A12" s="6">
        <f t="shared" si="1"/>
        <v>11</v>
      </c>
      <c r="D12" s="22"/>
      <c r="E12" s="2"/>
      <c r="F12" s="5" t="s">
        <v>2</v>
      </c>
      <c r="G12" s="26" t="s">
        <v>3</v>
      </c>
      <c r="H12" s="61"/>
      <c r="I12" s="61"/>
      <c r="J12" s="60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2"/>
        <v>0</v>
      </c>
      <c r="U12" s="506"/>
      <c r="V12" s="506"/>
      <c r="W12" s="506"/>
      <c r="X12" s="506"/>
      <c r="Y12" s="506"/>
      <c r="Z12" s="506"/>
      <c r="AA12" s="506"/>
    </row>
    <row r="13" spans="1:27">
      <c r="A13" s="6">
        <f t="shared" si="1"/>
        <v>12</v>
      </c>
      <c r="D13" s="22" t="b">
        <f>AND($D$1=1,$H$9=1,'Simulazione 8.4'!$C$4&lt;=3,'Simulazione 8.4'!$C$4&gt;=1)</f>
        <v>1</v>
      </c>
      <c r="E13" s="28" t="s">
        <v>6</v>
      </c>
      <c r="F13" s="5">
        <v>208</v>
      </c>
      <c r="G13" s="26">
        <f t="shared" ref="G13:G18" si="3">F13-82</f>
        <v>126</v>
      </c>
      <c r="H13" s="61">
        <f t="shared" ref="H13:H18" si="4">IF(D13=TRUE,F13,0)</f>
        <v>208</v>
      </c>
      <c r="I13" s="61">
        <f t="shared" ref="I13:I18" si="5">IF(D13=TRUE,G13,0)</f>
        <v>126</v>
      </c>
      <c r="J13" s="22" t="b">
        <f>AND($D$1=1,$H$9=4,'Simulazione 8.4'!$C$4&lt;=3,'Simulazione 8.4'!$C$4&gt;=1)</f>
        <v>0</v>
      </c>
      <c r="K13" s="28" t="s">
        <v>6</v>
      </c>
      <c r="L13" s="5">
        <v>201</v>
      </c>
      <c r="M13" s="26">
        <f t="shared" ref="M13:M18" si="6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61">
        <v>0</v>
      </c>
      <c r="R13" s="2">
        <f t="shared" si="2"/>
        <v>0</v>
      </c>
      <c r="U13" s="506"/>
      <c r="V13" s="506"/>
      <c r="W13" s="506"/>
      <c r="X13" s="506"/>
      <c r="Y13" s="506"/>
      <c r="Z13" s="506"/>
      <c r="AA13" s="506"/>
    </row>
    <row r="14" spans="1:27">
      <c r="A14" s="6">
        <f t="shared" si="1"/>
        <v>13</v>
      </c>
      <c r="D14" s="22" t="b">
        <f>AND($D$1=1,$H$9=1,'Simulazione 8.4'!$C$4&lt;=20,'Simulazione 8.4'!$C$4&gt;3)</f>
        <v>0</v>
      </c>
      <c r="E14" s="28" t="s">
        <v>7</v>
      </c>
      <c r="F14" s="5">
        <v>196</v>
      </c>
      <c r="G14" s="26">
        <f t="shared" si="3"/>
        <v>114</v>
      </c>
      <c r="H14" s="61">
        <f t="shared" si="4"/>
        <v>0</v>
      </c>
      <c r="I14" s="61">
        <f t="shared" si="5"/>
        <v>0</v>
      </c>
      <c r="J14" s="22" t="b">
        <f>AND($D$1=1,$H$9=4,'Simulazione 8.4'!$C$4&lt;=20,'Simulazione 8.4'!$C$4&gt;3)</f>
        <v>0</v>
      </c>
      <c r="K14" s="28" t="s">
        <v>7</v>
      </c>
      <c r="L14" s="5">
        <v>189</v>
      </c>
      <c r="M14" s="26">
        <f t="shared" si="6"/>
        <v>107</v>
      </c>
      <c r="N14" s="5">
        <f t="shared" ref="N14:N18" si="7">IF(J14=TRUE,L14,0)</f>
        <v>0</v>
      </c>
      <c r="O14" s="5">
        <f t="shared" ref="O14:O18" si="8">IF(J14=TRUE,M14,0)</f>
        <v>0</v>
      </c>
      <c r="P14" s="2" t="b">
        <f>AND($K$1=1,$L$1=2,$M$1&gt;20)</f>
        <v>0</v>
      </c>
      <c r="Q14" s="61">
        <v>20</v>
      </c>
      <c r="R14" s="2">
        <f t="shared" si="2"/>
        <v>0</v>
      </c>
      <c r="U14" s="506"/>
      <c r="V14" s="506"/>
      <c r="W14" s="506"/>
      <c r="X14" s="506"/>
      <c r="Y14" s="506"/>
      <c r="Z14" s="506"/>
      <c r="AA14" s="506"/>
    </row>
    <row r="15" spans="1:27" ht="22.5" customHeight="1">
      <c r="A15" s="6">
        <f t="shared" si="1"/>
        <v>14</v>
      </c>
      <c r="D15" s="22" t="b">
        <f>AND($D$1=1,$H$9=1,'Simulazione 8.4'!$C$4&lt;=200,'Simulazione 8.4'!$C$4&gt;20)</f>
        <v>0</v>
      </c>
      <c r="E15" s="28" t="s">
        <v>8</v>
      </c>
      <c r="F15" s="5">
        <v>175</v>
      </c>
      <c r="G15" s="26">
        <f t="shared" si="3"/>
        <v>93</v>
      </c>
      <c r="H15" s="61">
        <f t="shared" si="4"/>
        <v>0</v>
      </c>
      <c r="I15" s="61">
        <f t="shared" si="5"/>
        <v>0</v>
      </c>
      <c r="J15" s="22" t="b">
        <f>AND($D$1=1,$H$9=4,'Simulazione 8.4'!$C$4&lt;=200,'Simulazione 8.4'!$C$4&gt;20)</f>
        <v>0</v>
      </c>
      <c r="K15" s="28" t="s">
        <v>8</v>
      </c>
      <c r="L15" s="5">
        <v>168</v>
      </c>
      <c r="M15" s="26">
        <f t="shared" si="6"/>
        <v>86</v>
      </c>
      <c r="N15" s="5">
        <f t="shared" si="7"/>
        <v>0</v>
      </c>
      <c r="O15" s="5">
        <f t="shared" si="8"/>
        <v>0</v>
      </c>
      <c r="P15" s="2" t="b">
        <f>AND($K$1=1,$L$1=3,$M$1&gt;20)</f>
        <v>0</v>
      </c>
      <c r="Q15" s="61">
        <v>20</v>
      </c>
      <c r="R15" s="2">
        <f t="shared" si="2"/>
        <v>0</v>
      </c>
      <c r="U15" s="506"/>
      <c r="V15" s="506"/>
      <c r="W15" s="506"/>
      <c r="X15" s="506"/>
      <c r="Y15" s="506"/>
      <c r="Z15" s="506"/>
      <c r="AA15" s="506"/>
    </row>
    <row r="16" spans="1:27" ht="13.5" customHeight="1">
      <c r="A16" s="6">
        <f t="shared" si="1"/>
        <v>15</v>
      </c>
      <c r="D16" s="22" t="b">
        <f>AND($D$1=1,$H$9=1,'Simulazione 8.4'!$C$4&lt;=1000,'Simulazione 8.4'!$C$4&gt;200)</f>
        <v>0</v>
      </c>
      <c r="E16" s="28" t="s">
        <v>9</v>
      </c>
      <c r="F16" s="5">
        <v>142</v>
      </c>
      <c r="G16" s="26">
        <f t="shared" si="3"/>
        <v>60</v>
      </c>
      <c r="H16" s="61">
        <f t="shared" si="4"/>
        <v>0</v>
      </c>
      <c r="I16" s="61">
        <f t="shared" si="5"/>
        <v>0</v>
      </c>
      <c r="J16" s="22" t="b">
        <f>AND($D$1=1,$H$9=4,'Simulazione 8.4'!$C$4&lt;=1000,'Simulazione 8.4'!$C$4&gt;200)</f>
        <v>0</v>
      </c>
      <c r="K16" s="28" t="s">
        <v>9</v>
      </c>
      <c r="L16" s="5">
        <v>135</v>
      </c>
      <c r="M16" s="26">
        <f t="shared" si="6"/>
        <v>53</v>
      </c>
      <c r="N16" s="5">
        <f t="shared" si="7"/>
        <v>0</v>
      </c>
      <c r="O16" s="5">
        <f t="shared" si="8"/>
        <v>0</v>
      </c>
      <c r="P16" s="2" t="b">
        <f>AND($K$1=1,$L$1=4,$M$1&gt;20)</f>
        <v>0</v>
      </c>
      <c r="Q16" s="61">
        <v>40</v>
      </c>
      <c r="R16" s="2">
        <f t="shared" si="2"/>
        <v>0</v>
      </c>
      <c r="V16" s="442">
        <v>0.05</v>
      </c>
      <c r="W16" s="443">
        <v>1</v>
      </c>
      <c r="X16" s="443">
        <f>IF($W$38=W16,V16*100,0)</f>
        <v>0</v>
      </c>
    </row>
    <row r="17" spans="1:24">
      <c r="A17" s="6">
        <f t="shared" si="1"/>
        <v>16</v>
      </c>
      <c r="D17" s="22" t="b">
        <f>AND($D$1=1,$H$9=1,'Simulazione 8.4'!$C$4&lt;=5000,'Simulazione 8.4'!$C$4&gt;1000)</f>
        <v>0</v>
      </c>
      <c r="E17" s="28" t="s">
        <v>10</v>
      </c>
      <c r="F17" s="5">
        <v>126</v>
      </c>
      <c r="G17" s="26">
        <f t="shared" si="3"/>
        <v>44</v>
      </c>
      <c r="H17" s="61">
        <f t="shared" si="4"/>
        <v>0</v>
      </c>
      <c r="I17" s="61">
        <f t="shared" si="5"/>
        <v>0</v>
      </c>
      <c r="J17" s="22" t="b">
        <f>AND($D$1=1,$H$9=4,'Simulazione 8.4'!$C$4&lt;=5000,'Simulazione 8.4'!$C$4&gt;1000)</f>
        <v>0</v>
      </c>
      <c r="K17" s="28" t="s">
        <v>10</v>
      </c>
      <c r="L17" s="5">
        <v>120</v>
      </c>
      <c r="M17" s="26">
        <f t="shared" si="6"/>
        <v>38</v>
      </c>
      <c r="N17" s="5">
        <f t="shared" si="7"/>
        <v>0</v>
      </c>
      <c r="O17" s="5">
        <f t="shared" si="8"/>
        <v>0</v>
      </c>
      <c r="P17" s="2" t="b">
        <f>AND($K$1=2,$L$1=1,$M$1&gt;20)</f>
        <v>0</v>
      </c>
      <c r="Q17" s="61">
        <v>0</v>
      </c>
      <c r="R17" s="2">
        <f t="shared" si="2"/>
        <v>0</v>
      </c>
      <c r="V17" s="442">
        <v>0.1</v>
      </c>
      <c r="W17" s="443">
        <v>2</v>
      </c>
      <c r="X17" s="443">
        <f t="shared" ref="X17:X37" si="9">IF($W$38=W17,V17*100,0)</f>
        <v>0</v>
      </c>
    </row>
    <row r="18" spans="1:24" ht="15.75" thickBot="1">
      <c r="A18" s="6">
        <f t="shared" si="1"/>
        <v>17</v>
      </c>
      <c r="D18" s="29" t="b">
        <f>AND($D$1=1,$H$9=1,'Simulazione 8.4'!$C$4&gt;=5000)</f>
        <v>0</v>
      </c>
      <c r="E18" s="30" t="s">
        <v>11</v>
      </c>
      <c r="F18" s="31">
        <v>119</v>
      </c>
      <c r="G18" s="32">
        <f t="shared" si="3"/>
        <v>37</v>
      </c>
      <c r="H18" s="61">
        <f t="shared" si="4"/>
        <v>0</v>
      </c>
      <c r="I18" s="61">
        <f t="shared" si="5"/>
        <v>0</v>
      </c>
      <c r="J18" s="29" t="b">
        <f>AND($D$1=1,$H$9=4,'Simulazione 8.4'!$C$4&gt;=5000)</f>
        <v>0</v>
      </c>
      <c r="K18" s="30" t="s">
        <v>11</v>
      </c>
      <c r="L18" s="31">
        <v>113</v>
      </c>
      <c r="M18" s="32">
        <f t="shared" si="6"/>
        <v>31</v>
      </c>
      <c r="N18" s="5">
        <f t="shared" si="7"/>
        <v>0</v>
      </c>
      <c r="O18" s="5">
        <f t="shared" si="8"/>
        <v>0</v>
      </c>
      <c r="P18" s="2" t="b">
        <f>AND($K$1=2,$L$1=2,$M$1&gt;20)</f>
        <v>0</v>
      </c>
      <c r="Q18" s="61">
        <v>10</v>
      </c>
      <c r="R18" s="2">
        <f t="shared" si="2"/>
        <v>0</v>
      </c>
      <c r="V18" s="442">
        <v>0.15</v>
      </c>
      <c r="W18" s="443">
        <v>3</v>
      </c>
      <c r="X18" s="443">
        <f t="shared" si="9"/>
        <v>0</v>
      </c>
    </row>
    <row r="19" spans="1:24" ht="15.75" thickBot="1">
      <c r="A19" s="6">
        <f t="shared" si="1"/>
        <v>18</v>
      </c>
      <c r="F19" s="61"/>
      <c r="G19" s="61"/>
      <c r="H19" s="33">
        <f>IF($H$9=1,H13+H14+H15+H16+H17+H18,0)</f>
        <v>208</v>
      </c>
      <c r="I19" s="33">
        <f>IF($H$9=1,I13+I14+I15+I16+I17+I18,0)</f>
        <v>126</v>
      </c>
      <c r="K19" s="61"/>
      <c r="L19" s="61"/>
      <c r="M19" s="61"/>
      <c r="N19" s="33">
        <f>IF($H$9=4,N13+N14+N15+N16+N17+N18,0)</f>
        <v>0</v>
      </c>
      <c r="O19" s="33">
        <f>IF($H$9=4,O13+O14+O15+O16+O17+O18,0)</f>
        <v>0</v>
      </c>
      <c r="P19" s="2" t="b">
        <f>AND($K$1=2,$L$1=3,$M$1&gt;20)</f>
        <v>0</v>
      </c>
      <c r="Q19" s="61">
        <v>10</v>
      </c>
      <c r="R19" s="2">
        <f t="shared" si="2"/>
        <v>0</v>
      </c>
      <c r="V19" s="442">
        <v>0.2</v>
      </c>
      <c r="W19" s="443">
        <v>4</v>
      </c>
      <c r="X19" s="443">
        <f t="shared" si="9"/>
        <v>0</v>
      </c>
    </row>
    <row r="20" spans="1:24" ht="24" customHeight="1">
      <c r="A20" s="6">
        <f t="shared" si="1"/>
        <v>19</v>
      </c>
      <c r="F20" s="61"/>
      <c r="G20" s="61"/>
      <c r="H20" s="5"/>
      <c r="I20" s="5"/>
      <c r="K20" s="61"/>
      <c r="L20" s="61"/>
      <c r="M20" s="61"/>
      <c r="N20" s="5"/>
      <c r="O20" s="5"/>
      <c r="P20" s="2" t="b">
        <f>AND($K$1=2,$L$1=4,$M$1&gt;20)</f>
        <v>0</v>
      </c>
      <c r="Q20" s="68">
        <v>20</v>
      </c>
      <c r="R20" s="2">
        <f t="shared" ref="R20" si="10">IF(P20=TRUE,Q20,0)</f>
        <v>0</v>
      </c>
      <c r="V20" s="442">
        <v>0.25</v>
      </c>
      <c r="W20" s="443">
        <v>5</v>
      </c>
      <c r="X20" s="443">
        <f t="shared" si="9"/>
        <v>0</v>
      </c>
    </row>
    <row r="21" spans="1:24" ht="12.75" customHeight="1" thickBot="1">
      <c r="A21" s="6">
        <f t="shared" si="1"/>
        <v>20</v>
      </c>
      <c r="F21" s="506"/>
      <c r="G21" s="506"/>
      <c r="H21" s="61"/>
      <c r="I21" s="61"/>
      <c r="K21" s="61"/>
      <c r="L21" s="506"/>
      <c r="M21" s="506"/>
      <c r="N21" s="61"/>
      <c r="O21" s="61"/>
      <c r="P21" s="2" t="b">
        <f>AND($K$1=3,$L$1=1,$M$1&gt;20)</f>
        <v>0</v>
      </c>
      <c r="Q21" s="40">
        <v>0</v>
      </c>
      <c r="R21" s="37">
        <f t="shared" ref="R21:R24" si="11">IF(P21=TRUE,Q21,0)</f>
        <v>0</v>
      </c>
      <c r="V21" s="442">
        <v>0.3</v>
      </c>
      <c r="W21" s="443">
        <v>6</v>
      </c>
      <c r="X21" s="443">
        <f t="shared" si="9"/>
        <v>0</v>
      </c>
    </row>
    <row r="22" spans="1:24" s="37" customFormat="1" ht="22.5" customHeight="1">
      <c r="A22" s="6">
        <f t="shared" si="1"/>
        <v>21</v>
      </c>
      <c r="D22" s="62"/>
      <c r="E22" s="63"/>
      <c r="F22" s="64" t="s">
        <v>2</v>
      </c>
      <c r="G22" s="65" t="s">
        <v>3</v>
      </c>
      <c r="H22" s="40"/>
      <c r="I22" s="40"/>
      <c r="J22" s="62"/>
      <c r="K22" s="63"/>
      <c r="L22" s="64" t="s">
        <v>2</v>
      </c>
      <c r="M22" s="65" t="s">
        <v>3</v>
      </c>
      <c r="N22" s="38"/>
      <c r="O22" s="38"/>
      <c r="P22" s="2" t="b">
        <f>AND($K$1=3,$L$1=2,$M$1&gt;20)</f>
        <v>0</v>
      </c>
      <c r="Q22" s="44">
        <v>5</v>
      </c>
      <c r="R22" s="11">
        <f t="shared" si="11"/>
        <v>0</v>
      </c>
      <c r="T22" s="40"/>
      <c r="V22" s="444">
        <v>0.35</v>
      </c>
      <c r="W22" s="445">
        <v>7</v>
      </c>
      <c r="X22" s="443">
        <f t="shared" si="9"/>
        <v>0</v>
      </c>
    </row>
    <row r="23" spans="1:24" s="41" customFormat="1" ht="15.75">
      <c r="A23" s="6">
        <f t="shared" si="1"/>
        <v>22</v>
      </c>
      <c r="D23" s="22" t="b">
        <f>AND($D$1=2,$H$9=1,'Simulazione 8.4'!$C$4&lt;=3,'Simulazione 8.4'!$C$4&gt;=1)</f>
        <v>0</v>
      </c>
      <c r="E23" s="28" t="s">
        <v>6</v>
      </c>
      <c r="F23" s="42">
        <v>182</v>
      </c>
      <c r="G23" s="43">
        <f t="shared" ref="G23:G28" si="12">F23-82</f>
        <v>100</v>
      </c>
      <c r="H23" s="61">
        <f t="shared" ref="H23:H28" si="13">IF(D23=TRUE,F23,0)</f>
        <v>0</v>
      </c>
      <c r="I23" s="61">
        <f t="shared" ref="I23:I28" si="14">IF(D23=TRUE,G23,0)</f>
        <v>0</v>
      </c>
      <c r="J23" s="22" t="b">
        <f>AND($D$1=2,$H$9=4,'Simulazione 8.4'!$C$4&lt;=3,'Simulazione 8.4'!$C$4&gt;=1)</f>
        <v>0</v>
      </c>
      <c r="K23" s="28" t="s">
        <v>6</v>
      </c>
      <c r="L23" s="42">
        <v>176</v>
      </c>
      <c r="M23" s="43">
        <f t="shared" ref="M23:M28" si="15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4">
        <v>5</v>
      </c>
      <c r="R23" s="11">
        <f t="shared" si="11"/>
        <v>0</v>
      </c>
      <c r="S23" s="6"/>
      <c r="T23" s="418"/>
      <c r="V23" s="446">
        <v>0.4</v>
      </c>
      <c r="W23" s="447">
        <v>8</v>
      </c>
      <c r="X23" s="443">
        <f t="shared" si="9"/>
        <v>0</v>
      </c>
    </row>
    <row r="24" spans="1:24" s="41" customFormat="1" ht="15.75">
      <c r="A24" s="6">
        <f t="shared" si="1"/>
        <v>23</v>
      </c>
      <c r="D24" s="22" t="b">
        <f>AND($D$1=2,$H$9=1,'Simulazione 8.4'!$C$4&lt;=20,'Simulazione 8.4'!$C$4&gt;3)</f>
        <v>0</v>
      </c>
      <c r="E24" s="28" t="s">
        <v>7</v>
      </c>
      <c r="F24" s="42">
        <v>171</v>
      </c>
      <c r="G24" s="43">
        <f t="shared" si="12"/>
        <v>89</v>
      </c>
      <c r="H24" s="61">
        <f t="shared" si="13"/>
        <v>0</v>
      </c>
      <c r="I24" s="61">
        <f t="shared" si="14"/>
        <v>0</v>
      </c>
      <c r="J24" s="22" t="b">
        <f>AND($D$1=2,$H$9=4,'Simulazione 8.4'!$C$4&lt;=20,'Simulazione 8.4'!$C$4&gt;3)</f>
        <v>0</v>
      </c>
      <c r="K24" s="28" t="s">
        <v>7</v>
      </c>
      <c r="L24" s="42">
        <v>165</v>
      </c>
      <c r="M24" s="43">
        <f t="shared" si="15"/>
        <v>83</v>
      </c>
      <c r="N24" s="5">
        <f t="shared" ref="N24:N28" si="16">IF(J24=TRUE,L24,0)</f>
        <v>0</v>
      </c>
      <c r="O24" s="5">
        <f t="shared" ref="O24:O28" si="17">IF(J24=TRUE,M24,0)</f>
        <v>0</v>
      </c>
      <c r="P24" s="2" t="b">
        <f>AND($K$1=3,$L$1=4,$M$1&gt;20)</f>
        <v>0</v>
      </c>
      <c r="Q24" s="44">
        <v>10</v>
      </c>
      <c r="R24" s="11">
        <f t="shared" si="11"/>
        <v>0</v>
      </c>
      <c r="T24" s="44"/>
      <c r="V24" s="446">
        <v>0.45</v>
      </c>
      <c r="W24" s="447">
        <v>9</v>
      </c>
      <c r="X24" s="443">
        <f t="shared" si="9"/>
        <v>0</v>
      </c>
    </row>
    <row r="25" spans="1:24" s="41" customFormat="1" ht="15.75">
      <c r="A25" s="6">
        <f t="shared" si="1"/>
        <v>24</v>
      </c>
      <c r="D25" s="22" t="b">
        <f>AND($D$1=2,$H$9=1,'Simulazione 8.4'!$C$4&lt;=200,'Simulazione 8.4'!$C$4&gt;20)</f>
        <v>0</v>
      </c>
      <c r="E25" s="28" t="s">
        <v>8</v>
      </c>
      <c r="F25" s="42">
        <v>157</v>
      </c>
      <c r="G25" s="43">
        <f t="shared" si="12"/>
        <v>75</v>
      </c>
      <c r="H25" s="61">
        <f t="shared" si="13"/>
        <v>0</v>
      </c>
      <c r="I25" s="61">
        <f t="shared" si="14"/>
        <v>0</v>
      </c>
      <c r="J25" s="22" t="b">
        <f>AND($D$1=2,$H$9=4,'Simulazione 8.4'!$C$4&lt;=200,'Simulazione 8.4'!$C$4&gt;20)</f>
        <v>0</v>
      </c>
      <c r="K25" s="28" t="s">
        <v>8</v>
      </c>
      <c r="L25" s="42">
        <v>151</v>
      </c>
      <c r="M25" s="43">
        <f t="shared" si="15"/>
        <v>69</v>
      </c>
      <c r="N25" s="5">
        <f t="shared" si="16"/>
        <v>0</v>
      </c>
      <c r="O25" s="5">
        <f t="shared" si="17"/>
        <v>0</v>
      </c>
      <c r="P25" s="11"/>
      <c r="Q25" s="44"/>
      <c r="R25" s="11"/>
      <c r="T25" s="44"/>
      <c r="V25" s="446">
        <v>0.5</v>
      </c>
      <c r="W25" s="447">
        <v>10</v>
      </c>
      <c r="X25" s="443">
        <f t="shared" si="9"/>
        <v>0</v>
      </c>
    </row>
    <row r="26" spans="1:24" s="37" customFormat="1" ht="22.5" customHeight="1">
      <c r="A26" s="6">
        <f t="shared" si="1"/>
        <v>25</v>
      </c>
      <c r="D26" s="22" t="b">
        <f>AND($D$1=2,$H$9=1,'Simulazione 8.4'!$C$4&lt;=1000,'Simulazione 8.4'!$C$4&gt;200)</f>
        <v>0</v>
      </c>
      <c r="E26" s="28" t="s">
        <v>9</v>
      </c>
      <c r="F26" s="38">
        <v>130</v>
      </c>
      <c r="G26" s="39">
        <f t="shared" si="12"/>
        <v>48</v>
      </c>
      <c r="H26" s="61">
        <f t="shared" si="13"/>
        <v>0</v>
      </c>
      <c r="I26" s="61">
        <f t="shared" si="14"/>
        <v>0</v>
      </c>
      <c r="J26" s="22" t="b">
        <f>AND($D$1=2,$H$9=4,'Simulazione 8.4'!$C$4&lt;=1000,'Simulazione 8.4'!$C$4&gt;200)</f>
        <v>0</v>
      </c>
      <c r="K26" s="28" t="s">
        <v>9</v>
      </c>
      <c r="L26" s="38">
        <v>124</v>
      </c>
      <c r="M26" s="39">
        <f t="shared" si="15"/>
        <v>42</v>
      </c>
      <c r="N26" s="5">
        <f t="shared" si="16"/>
        <v>0</v>
      </c>
      <c r="O26" s="5">
        <f t="shared" si="17"/>
        <v>0</v>
      </c>
      <c r="Q26" s="40"/>
      <c r="T26" s="40"/>
      <c r="V26" s="444">
        <v>0.55000000000000004</v>
      </c>
      <c r="W26" s="445">
        <v>11</v>
      </c>
      <c r="X26" s="443">
        <f t="shared" si="9"/>
        <v>0</v>
      </c>
    </row>
    <row r="27" spans="1:24" s="41" customFormat="1" ht="15.75">
      <c r="A27" s="6">
        <f t="shared" si="1"/>
        <v>26</v>
      </c>
      <c r="D27" s="22" t="b">
        <f>AND($D$1=2,$H$9=1,'Simulazione 8.4'!$C$4&lt;=5000,'Simulazione 8.4'!$C$4&gt;1000)</f>
        <v>0</v>
      </c>
      <c r="E27" s="28" t="s">
        <v>10</v>
      </c>
      <c r="F27" s="42">
        <v>118</v>
      </c>
      <c r="G27" s="43">
        <f t="shared" si="12"/>
        <v>36</v>
      </c>
      <c r="H27" s="61">
        <f t="shared" si="13"/>
        <v>0</v>
      </c>
      <c r="I27" s="61">
        <f t="shared" si="14"/>
        <v>0</v>
      </c>
      <c r="J27" s="22" t="b">
        <f>AND($D$1=2,$H$9=4,'Simulazione 8.4'!$C$4&lt;=5000,'Simulazione 8.4'!$C$4&gt;1000)</f>
        <v>0</v>
      </c>
      <c r="K27" s="28" t="s">
        <v>10</v>
      </c>
      <c r="L27" s="42">
        <v>113</v>
      </c>
      <c r="M27" s="43">
        <f t="shared" si="15"/>
        <v>31</v>
      </c>
      <c r="N27" s="5">
        <f t="shared" si="16"/>
        <v>0</v>
      </c>
      <c r="O27" s="5">
        <f t="shared" si="17"/>
        <v>0</v>
      </c>
      <c r="Q27" s="44"/>
      <c r="R27" s="46">
        <f>SUM(R1:R26)</f>
        <v>20</v>
      </c>
      <c r="S27" s="46"/>
      <c r="T27" s="423">
        <f>SUM(T1:T26)</f>
        <v>0</v>
      </c>
      <c r="V27" s="446">
        <v>0.6</v>
      </c>
      <c r="W27" s="447">
        <v>12</v>
      </c>
      <c r="X27" s="443">
        <f t="shared" si="9"/>
        <v>0</v>
      </c>
    </row>
    <row r="28" spans="1:24" s="41" customFormat="1" ht="16.5" thickBot="1">
      <c r="A28" s="6">
        <f t="shared" si="1"/>
        <v>27</v>
      </c>
      <c r="D28" s="29" t="b">
        <f>AND($D$1=2,$H$9=1,'Simulazione 8.4'!$C$4&gt;=5000)</f>
        <v>0</v>
      </c>
      <c r="E28" s="30" t="s">
        <v>11</v>
      </c>
      <c r="F28" s="47">
        <v>112</v>
      </c>
      <c r="G28" s="48">
        <f t="shared" si="12"/>
        <v>30</v>
      </c>
      <c r="H28" s="61">
        <f t="shared" si="13"/>
        <v>0</v>
      </c>
      <c r="I28" s="61">
        <f t="shared" si="14"/>
        <v>0</v>
      </c>
      <c r="J28" s="29" t="b">
        <f>AND($D$1=2,$H$9=4,'Simulazione 8.4'!$C$4&gt;=5000)</f>
        <v>0</v>
      </c>
      <c r="K28" s="30" t="s">
        <v>11</v>
      </c>
      <c r="L28" s="47">
        <v>106</v>
      </c>
      <c r="M28" s="48">
        <f t="shared" si="15"/>
        <v>24</v>
      </c>
      <c r="N28" s="5">
        <f t="shared" si="16"/>
        <v>0</v>
      </c>
      <c r="O28" s="5">
        <f t="shared" si="17"/>
        <v>0</v>
      </c>
      <c r="Q28" s="44"/>
      <c r="T28" s="44"/>
      <c r="V28" s="446">
        <v>0.65</v>
      </c>
      <c r="W28" s="447">
        <v>13</v>
      </c>
      <c r="X28" s="443">
        <f t="shared" si="9"/>
        <v>0</v>
      </c>
    </row>
    <row r="29" spans="1:24" s="41" customFormat="1" ht="16.5" thickBot="1">
      <c r="A29" s="6">
        <f t="shared" si="1"/>
        <v>28</v>
      </c>
      <c r="F29" s="44"/>
      <c r="G29" s="44"/>
      <c r="H29" s="33">
        <f>IF($H$9=1,H23+H24+H25+H26+H27+H28,0)</f>
        <v>0</v>
      </c>
      <c r="I29" s="33">
        <f>IF($H$9=1,I23+I24+I25+I26+I27+I28,0)</f>
        <v>0</v>
      </c>
      <c r="K29" s="44"/>
      <c r="L29" s="44"/>
      <c r="M29" s="44"/>
      <c r="N29" s="33">
        <f>IF($H$9=4,N23+N24+N25+N26+N27+N28,0)</f>
        <v>0</v>
      </c>
      <c r="O29" s="33">
        <f>IF($H$9=4,O23+O24+O25+O26+O27+O28,0)</f>
        <v>0</v>
      </c>
      <c r="Q29" s="44"/>
      <c r="T29" s="44"/>
      <c r="V29" s="446">
        <v>0.7</v>
      </c>
      <c r="W29" s="447">
        <v>14</v>
      </c>
      <c r="X29" s="443">
        <f t="shared" si="9"/>
        <v>0</v>
      </c>
    </row>
    <row r="30" spans="1:24" s="41" customFormat="1" ht="15.75">
      <c r="A30" s="6">
        <f t="shared" si="1"/>
        <v>29</v>
      </c>
      <c r="Q30" s="49" t="s">
        <v>73</v>
      </c>
      <c r="S30" s="41">
        <f t="shared" ref="S30:S39" si="18">IF($R$41=T30,U30,0)</f>
        <v>0</v>
      </c>
      <c r="T30" s="44">
        <v>1</v>
      </c>
      <c r="U30" s="41">
        <v>10</v>
      </c>
      <c r="V30" s="446">
        <v>0.75</v>
      </c>
      <c r="W30" s="447">
        <v>15</v>
      </c>
      <c r="X30" s="443">
        <f t="shared" si="9"/>
        <v>0</v>
      </c>
    </row>
    <row r="31" spans="1:24" s="41" customFormat="1" ht="16.5" thickBot="1">
      <c r="A31" s="6">
        <f t="shared" si="1"/>
        <v>30</v>
      </c>
      <c r="Q31" s="49" t="s">
        <v>64</v>
      </c>
      <c r="S31" s="41">
        <f t="shared" si="18"/>
        <v>0</v>
      </c>
      <c r="T31" s="44">
        <v>2</v>
      </c>
      <c r="U31" s="41">
        <v>20</v>
      </c>
      <c r="V31" s="446">
        <v>0.8</v>
      </c>
      <c r="W31" s="447">
        <v>16</v>
      </c>
      <c r="X31" s="443">
        <f t="shared" si="9"/>
        <v>0</v>
      </c>
    </row>
    <row r="32" spans="1:24" s="41" customFormat="1" ht="15.75">
      <c r="A32" s="6">
        <f t="shared" si="1"/>
        <v>31</v>
      </c>
      <c r="D32" s="62"/>
      <c r="E32" s="63"/>
      <c r="F32" s="64" t="s">
        <v>2</v>
      </c>
      <c r="G32" s="65" t="s">
        <v>3</v>
      </c>
      <c r="H32" s="40"/>
      <c r="I32" s="40"/>
      <c r="J32" s="62"/>
      <c r="K32" s="63"/>
      <c r="L32" s="64" t="s">
        <v>2</v>
      </c>
      <c r="M32" s="65" t="s">
        <v>3</v>
      </c>
      <c r="N32" s="38"/>
      <c r="O32" s="38"/>
      <c r="Q32" s="49" t="s">
        <v>65</v>
      </c>
      <c r="S32" s="41">
        <f t="shared" si="18"/>
        <v>0</v>
      </c>
      <c r="T32" s="44">
        <v>3</v>
      </c>
      <c r="U32" s="41">
        <v>30</v>
      </c>
      <c r="V32" s="446">
        <v>0.85</v>
      </c>
      <c r="W32" s="447">
        <v>17</v>
      </c>
      <c r="X32" s="443">
        <f t="shared" si="9"/>
        <v>0</v>
      </c>
    </row>
    <row r="33" spans="1:26" s="41" customFormat="1" ht="15.75">
      <c r="A33" s="6">
        <f t="shared" si="1"/>
        <v>32</v>
      </c>
      <c r="D33" s="22" t="b">
        <f>AND($D$1=3,$H$9=1,'Simulazione 8.4'!$C$4&lt;=3,'Simulazione 8.4'!$C$4&gt;=1)</f>
        <v>0</v>
      </c>
      <c r="E33" s="28" t="s">
        <v>6</v>
      </c>
      <c r="F33" s="42">
        <v>157</v>
      </c>
      <c r="G33" s="43">
        <f t="shared" ref="G33:G38" si="19">F33-82</f>
        <v>75</v>
      </c>
      <c r="H33" s="61">
        <f t="shared" ref="H33:H38" si="20">IF(D33=TRUE,F33,0)</f>
        <v>0</v>
      </c>
      <c r="I33" s="61">
        <f t="shared" ref="I33:I38" si="21">IF(D33=TRUE,G33,0)</f>
        <v>0</v>
      </c>
      <c r="J33" s="22" t="b">
        <f>AND($D$1=3,$H$9=4,'Simulazione 8.4'!$C$4&lt;=3,'Simulazione 8.4'!$C$4&gt;=1)</f>
        <v>0</v>
      </c>
      <c r="K33" s="28" t="s">
        <v>6</v>
      </c>
      <c r="L33" s="42">
        <v>152</v>
      </c>
      <c r="M33" s="43">
        <f t="shared" ref="M33:M38" si="22">L33-82</f>
        <v>70</v>
      </c>
      <c r="N33" s="5">
        <f>IF(J33=TRUE,L33,0)</f>
        <v>0</v>
      </c>
      <c r="O33" s="5">
        <f>IF(J33=TRUE,M33,0)</f>
        <v>0</v>
      </c>
      <c r="Q33" s="49" t="s">
        <v>66</v>
      </c>
      <c r="S33" s="41">
        <f t="shared" si="18"/>
        <v>0</v>
      </c>
      <c r="T33" s="44">
        <v>4</v>
      </c>
      <c r="U33" s="41">
        <v>40</v>
      </c>
      <c r="V33" s="446">
        <v>0.9</v>
      </c>
      <c r="W33" s="447">
        <v>18</v>
      </c>
      <c r="X33" s="443">
        <f t="shared" si="9"/>
        <v>0</v>
      </c>
    </row>
    <row r="34" spans="1:26" s="41" customFormat="1" ht="15.75">
      <c r="A34" s="6">
        <f t="shared" si="1"/>
        <v>33</v>
      </c>
      <c r="D34" s="22" t="b">
        <f>AND($D$1=3,$H$9=1,'Simulazione 8.4'!$C$4&lt;=20,'Simulazione 8.4'!$C$4&gt;3)</f>
        <v>0</v>
      </c>
      <c r="E34" s="28" t="s">
        <v>7</v>
      </c>
      <c r="F34" s="42">
        <v>149</v>
      </c>
      <c r="G34" s="43">
        <f t="shared" si="19"/>
        <v>67</v>
      </c>
      <c r="H34" s="61">
        <f t="shared" si="20"/>
        <v>0</v>
      </c>
      <c r="I34" s="61">
        <f t="shared" si="21"/>
        <v>0</v>
      </c>
      <c r="J34" s="22" t="b">
        <f>AND($D$1=3,$H$9=4,'Simulazione 8.4'!$C$4&lt;=20,'Simulazione 8.4'!$C$4&gt;3)</f>
        <v>0</v>
      </c>
      <c r="K34" s="28" t="s">
        <v>7</v>
      </c>
      <c r="L34" s="42">
        <v>144</v>
      </c>
      <c r="M34" s="43">
        <f t="shared" si="22"/>
        <v>62</v>
      </c>
      <c r="N34" s="5">
        <f t="shared" ref="N34:N38" si="23">IF(J34=TRUE,L34,0)</f>
        <v>0</v>
      </c>
      <c r="O34" s="5">
        <f t="shared" ref="O34:O38" si="24">IF(J34=TRUE,M34,0)</f>
        <v>0</v>
      </c>
      <c r="Q34" s="49" t="s">
        <v>67</v>
      </c>
      <c r="S34" s="41">
        <f t="shared" si="18"/>
        <v>50</v>
      </c>
      <c r="T34" s="44">
        <v>5</v>
      </c>
      <c r="U34" s="41">
        <v>50</v>
      </c>
      <c r="V34" s="446">
        <v>0.95</v>
      </c>
      <c r="W34" s="447">
        <v>19</v>
      </c>
      <c r="X34" s="443">
        <f t="shared" si="9"/>
        <v>0</v>
      </c>
    </row>
    <row r="35" spans="1:26" ht="15.75">
      <c r="A35" s="6">
        <f t="shared" si="1"/>
        <v>34</v>
      </c>
      <c r="D35" s="22" t="b">
        <f>AND($D$1=3,$H$9=1,'Simulazione 8.4'!$C$4&lt;=200,'Simulazione 8.4'!$C$4&gt;20)</f>
        <v>0</v>
      </c>
      <c r="E35" s="28" t="s">
        <v>8</v>
      </c>
      <c r="F35" s="42">
        <v>141</v>
      </c>
      <c r="G35" s="43">
        <f t="shared" si="19"/>
        <v>59</v>
      </c>
      <c r="H35" s="61">
        <f t="shared" si="20"/>
        <v>0</v>
      </c>
      <c r="I35" s="61">
        <f t="shared" si="21"/>
        <v>0</v>
      </c>
      <c r="J35" s="22" t="b">
        <f>AND($D$1=3,$H$9=4,'Simulazione 8.4'!$C$4&lt;=200,'Simulazione 8.4'!$C$4&gt;20)</f>
        <v>0</v>
      </c>
      <c r="K35" s="28" t="s">
        <v>8</v>
      </c>
      <c r="L35" s="42">
        <v>136</v>
      </c>
      <c r="M35" s="43">
        <f t="shared" si="22"/>
        <v>54</v>
      </c>
      <c r="N35" s="5">
        <f t="shared" si="23"/>
        <v>0</v>
      </c>
      <c r="O35" s="5">
        <f t="shared" si="24"/>
        <v>0</v>
      </c>
      <c r="Q35" s="49" t="s">
        <v>68</v>
      </c>
      <c r="S35" s="41">
        <f t="shared" si="18"/>
        <v>0</v>
      </c>
      <c r="T35" s="44">
        <v>6</v>
      </c>
      <c r="U35" s="41">
        <v>60</v>
      </c>
      <c r="V35" s="446">
        <v>1</v>
      </c>
      <c r="W35" s="447">
        <v>20</v>
      </c>
      <c r="X35" s="443">
        <f t="shared" si="9"/>
        <v>100</v>
      </c>
    </row>
    <row r="36" spans="1:26" ht="15.75">
      <c r="A36" s="6">
        <f t="shared" si="1"/>
        <v>35</v>
      </c>
      <c r="D36" s="22" t="b">
        <f>AND($D$1=3,$H$7=9,'Simulazione 8.4'!$C$4&lt;=1000,'Simulazione 8.4'!$C$4&gt;200)</f>
        <v>0</v>
      </c>
      <c r="E36" s="28" t="s">
        <v>9</v>
      </c>
      <c r="F36" s="38">
        <v>118</v>
      </c>
      <c r="G36" s="39">
        <f t="shared" si="19"/>
        <v>36</v>
      </c>
      <c r="H36" s="61">
        <f t="shared" si="20"/>
        <v>0</v>
      </c>
      <c r="I36" s="61">
        <f t="shared" si="21"/>
        <v>0</v>
      </c>
      <c r="J36" s="22" t="b">
        <f>AND($D$1=3,$H$9=4,'Simulazione 8.4'!$C$4&lt;=1000,'Simulazione 8.4'!$C$4&gt;200)</f>
        <v>0</v>
      </c>
      <c r="K36" s="28" t="s">
        <v>9</v>
      </c>
      <c r="L36" s="38">
        <v>113</v>
      </c>
      <c r="M36" s="39">
        <f t="shared" si="22"/>
        <v>31</v>
      </c>
      <c r="N36" s="5">
        <f t="shared" si="23"/>
        <v>0</v>
      </c>
      <c r="O36" s="5">
        <f t="shared" si="24"/>
        <v>0</v>
      </c>
      <c r="Q36" s="49" t="s">
        <v>69</v>
      </c>
      <c r="S36" s="41">
        <f t="shared" si="18"/>
        <v>0</v>
      </c>
      <c r="T36" s="44">
        <v>7</v>
      </c>
      <c r="U36" s="41">
        <v>70</v>
      </c>
      <c r="V36" s="442">
        <v>1.05</v>
      </c>
      <c r="W36" s="447">
        <v>21</v>
      </c>
      <c r="X36" s="443">
        <f t="shared" si="9"/>
        <v>0</v>
      </c>
    </row>
    <row r="37" spans="1:26" ht="15.75">
      <c r="A37" s="6">
        <f t="shared" si="1"/>
        <v>36</v>
      </c>
      <c r="D37" s="22" t="b">
        <f>AND($D$1=3,$H$9=1,'Simulazione 8.4'!$C$4&lt;=5000,'Simulazione 8.4'!$C$4&gt;1000)</f>
        <v>0</v>
      </c>
      <c r="E37" s="28" t="s">
        <v>10</v>
      </c>
      <c r="F37" s="42">
        <v>110</v>
      </c>
      <c r="G37" s="43">
        <f t="shared" si="19"/>
        <v>28</v>
      </c>
      <c r="H37" s="61">
        <f t="shared" si="20"/>
        <v>0</v>
      </c>
      <c r="I37" s="61">
        <f t="shared" si="21"/>
        <v>0</v>
      </c>
      <c r="J37" s="22" t="b">
        <f>AND($D$1=3,$H$9=4,'Simulazione 8.4'!$C$4&lt;=5000,'Simulazione 8.4'!$C$4&gt;1000)</f>
        <v>0</v>
      </c>
      <c r="K37" s="28" t="s">
        <v>10</v>
      </c>
      <c r="L37" s="42">
        <v>106</v>
      </c>
      <c r="M37" s="43">
        <f t="shared" si="22"/>
        <v>24</v>
      </c>
      <c r="N37" s="5">
        <f t="shared" si="23"/>
        <v>0</v>
      </c>
      <c r="O37" s="5">
        <f t="shared" si="24"/>
        <v>0</v>
      </c>
      <c r="Q37" s="49" t="s">
        <v>70</v>
      </c>
      <c r="S37" s="41">
        <f t="shared" si="18"/>
        <v>0</v>
      </c>
      <c r="T37" s="44">
        <v>8</v>
      </c>
      <c r="U37" s="41">
        <v>80</v>
      </c>
      <c r="V37" s="442">
        <v>1.1000000000000001</v>
      </c>
      <c r="W37" s="448">
        <v>22</v>
      </c>
      <c r="X37" s="443">
        <f t="shared" si="9"/>
        <v>0</v>
      </c>
    </row>
    <row r="38" spans="1:26" ht="16.5" thickBot="1">
      <c r="A38" s="6">
        <f t="shared" si="1"/>
        <v>37</v>
      </c>
      <c r="D38" s="29" t="b">
        <f>AND($D$1=3,$H$9=1,'Simulazione 8.4'!$C$4&gt;=5000)</f>
        <v>0</v>
      </c>
      <c r="E38" s="30" t="s">
        <v>11</v>
      </c>
      <c r="F38" s="47">
        <v>104</v>
      </c>
      <c r="G38" s="48">
        <f t="shared" si="19"/>
        <v>22</v>
      </c>
      <c r="H38" s="61">
        <f t="shared" si="20"/>
        <v>0</v>
      </c>
      <c r="I38" s="61">
        <f t="shared" si="21"/>
        <v>0</v>
      </c>
      <c r="J38" s="29" t="b">
        <f>AND($D$1=3,$H$9=4,'Simulazione 8.4'!$C$4&gt;=5000)</f>
        <v>0</v>
      </c>
      <c r="K38" s="30" t="s">
        <v>11</v>
      </c>
      <c r="L38" s="47">
        <v>99</v>
      </c>
      <c r="M38" s="48">
        <f t="shared" si="22"/>
        <v>17</v>
      </c>
      <c r="N38" s="5">
        <f t="shared" si="23"/>
        <v>0</v>
      </c>
      <c r="O38" s="5">
        <f t="shared" si="24"/>
        <v>0</v>
      </c>
      <c r="Q38" s="49" t="s">
        <v>71</v>
      </c>
      <c r="S38" s="41">
        <f t="shared" si="18"/>
        <v>0</v>
      </c>
      <c r="T38" s="44">
        <v>9</v>
      </c>
      <c r="U38" s="41">
        <v>90</v>
      </c>
      <c r="W38" s="449">
        <v>20</v>
      </c>
      <c r="X38" s="450">
        <f>SUM(X16:X37)</f>
        <v>100</v>
      </c>
    </row>
    <row r="39" spans="1:26" ht="16.5" thickBot="1">
      <c r="A39" s="6">
        <f t="shared" si="1"/>
        <v>38</v>
      </c>
      <c r="D39" s="41"/>
      <c r="E39" s="41"/>
      <c r="F39" s="44"/>
      <c r="G39" s="44"/>
      <c r="H39" s="33">
        <f>IF($H$9=1,H33+H34+H35+H36+H37+H38,0)</f>
        <v>0</v>
      </c>
      <c r="I39" s="33">
        <f>IF($H$9=1,I33+I34+I35+I36+I37+I38,0)</f>
        <v>0</v>
      </c>
      <c r="J39" s="41"/>
      <c r="K39" s="44"/>
      <c r="L39" s="44"/>
      <c r="M39" s="44"/>
      <c r="N39" s="33">
        <f>IF($H$9=4,N33+N34+N35+N36+N37+N38,0)</f>
        <v>0</v>
      </c>
      <c r="O39" s="33">
        <f>IF($H$9=4,O33+O34+O35+O36+O37+O38,0)</f>
        <v>0</v>
      </c>
      <c r="Q39" s="49" t="s">
        <v>72</v>
      </c>
      <c r="S39" s="41">
        <f t="shared" si="18"/>
        <v>0</v>
      </c>
      <c r="T39" s="44">
        <v>10</v>
      </c>
      <c r="U39" s="41">
        <v>100</v>
      </c>
      <c r="W39" s="6" t="s">
        <v>279</v>
      </c>
      <c r="Y39" s="57"/>
      <c r="Z39" s="57">
        <f>Z41-Z40</f>
        <v>0</v>
      </c>
    </row>
    <row r="40" spans="1:26" ht="15.75">
      <c r="A40" s="6">
        <f t="shared" si="1"/>
        <v>39</v>
      </c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49"/>
      <c r="S40" s="41"/>
      <c r="W40" s="6" t="s">
        <v>183</v>
      </c>
      <c r="Y40" s="34"/>
      <c r="Z40" s="57">
        <f>Z41/100*X38</f>
        <v>6550</v>
      </c>
    </row>
    <row r="41" spans="1:26" ht="15.75">
      <c r="A41" s="6">
        <f t="shared" si="1"/>
        <v>40</v>
      </c>
      <c r="Q41" s="49"/>
      <c r="R41" s="6">
        <v>5</v>
      </c>
      <c r="S41" s="66">
        <f>SUM(S30:S39)</f>
        <v>50</v>
      </c>
      <c r="W41" s="507" t="s">
        <v>85</v>
      </c>
      <c r="X41" s="507"/>
      <c r="Z41" s="6">
        <f>'Simulazione 8.4'!I43+J43</f>
        <v>6550</v>
      </c>
    </row>
    <row r="42" spans="1:26" ht="15.75">
      <c r="A42" s="6">
        <f t="shared" si="1"/>
        <v>41</v>
      </c>
      <c r="Q42" s="49"/>
      <c r="S42" s="41"/>
    </row>
    <row r="43" spans="1:26" ht="16.5" thickBot="1">
      <c r="A43" s="6">
        <f t="shared" si="1"/>
        <v>42</v>
      </c>
      <c r="Q43" s="49"/>
      <c r="S43" s="41"/>
    </row>
    <row r="44" spans="1:26" ht="15.75">
      <c r="A44" s="6">
        <f t="shared" si="1"/>
        <v>43</v>
      </c>
      <c r="D44" s="62"/>
      <c r="E44" s="63"/>
      <c r="F44" s="64" t="s">
        <v>2</v>
      </c>
      <c r="G44" s="65" t="s">
        <v>3</v>
      </c>
      <c r="H44" s="40"/>
      <c r="I44" s="40"/>
      <c r="J44" s="62"/>
      <c r="K44" s="63"/>
      <c r="L44" s="64" t="s">
        <v>2</v>
      </c>
      <c r="M44" s="65" t="s">
        <v>3</v>
      </c>
      <c r="N44" s="38"/>
      <c r="O44" s="38"/>
      <c r="P44" s="61"/>
      <c r="Q44" s="49"/>
      <c r="S44" s="41"/>
    </row>
    <row r="45" spans="1:26" ht="15.75">
      <c r="A45" s="6">
        <f t="shared" si="1"/>
        <v>44</v>
      </c>
      <c r="D45" s="22" t="b">
        <f>AND($D$1=4,$H$9=1,'Simulazione 8.4'!$C$4&lt;=3,'Simulazione 8.4'!$C$4&gt;=1)</f>
        <v>0</v>
      </c>
      <c r="E45" s="28" t="s">
        <v>6</v>
      </c>
      <c r="F45" s="42">
        <v>144</v>
      </c>
      <c r="G45" s="43">
        <f t="shared" ref="G45:G50" si="25">F45-82</f>
        <v>62</v>
      </c>
      <c r="H45" s="61">
        <f t="shared" ref="H45:H50" si="26">IF(D45=TRUE,F45,0)</f>
        <v>0</v>
      </c>
      <c r="I45" s="61">
        <f t="shared" ref="I45:I50" si="27">IF(D45=TRUE,G45,0)</f>
        <v>0</v>
      </c>
      <c r="J45" s="22" t="b">
        <f>AND($D$1=4,$H$9=4,'Simulazione 8.4'!$C$4&lt;=3,'Simulazione 8.4'!$C$4&gt;=1)</f>
        <v>0</v>
      </c>
      <c r="K45" s="28" t="s">
        <v>6</v>
      </c>
      <c r="L45" s="42">
        <v>140</v>
      </c>
      <c r="M45" s="43">
        <f t="shared" ref="M45:M50" si="28">L45-82</f>
        <v>58</v>
      </c>
      <c r="N45" s="5">
        <f>IF(J45=TRUE,L45,0)</f>
        <v>0</v>
      </c>
      <c r="O45" s="5">
        <f>IF(J45=TRUE,M45,0)</f>
        <v>0</v>
      </c>
      <c r="P45" s="61"/>
      <c r="Q45" s="49"/>
      <c r="S45" s="41"/>
    </row>
    <row r="46" spans="1:26" ht="15.75">
      <c r="A46" s="6">
        <f t="shared" si="1"/>
        <v>45</v>
      </c>
      <c r="D46" s="22" t="b">
        <f>AND($D$1=4,$H$9=1,'Simulazione 8.4'!$C$4&lt;=20,'Simulazione 8.4'!$C$4&gt;3)</f>
        <v>0</v>
      </c>
      <c r="E46" s="28" t="s">
        <v>7</v>
      </c>
      <c r="F46" s="42">
        <v>137</v>
      </c>
      <c r="G46" s="43">
        <f t="shared" si="25"/>
        <v>55</v>
      </c>
      <c r="H46" s="61">
        <f t="shared" si="26"/>
        <v>0</v>
      </c>
      <c r="I46" s="61">
        <f t="shared" si="27"/>
        <v>0</v>
      </c>
      <c r="J46" s="22" t="b">
        <f>AND($D$1=4,$H$9=4,'Simulazione 8.4'!$C$4&lt;=20,'Simulazione 8.4'!$C$4&gt;3)</f>
        <v>0</v>
      </c>
      <c r="K46" s="28" t="s">
        <v>7</v>
      </c>
      <c r="L46" s="42">
        <v>133</v>
      </c>
      <c r="M46" s="43">
        <f t="shared" si="28"/>
        <v>51</v>
      </c>
      <c r="N46" s="5">
        <f t="shared" ref="N46:N50" si="29">IF(J46=TRUE,L46,0)</f>
        <v>0</v>
      </c>
      <c r="O46" s="5">
        <f t="shared" ref="O46:O50" si="30">IF(J46=TRUE,M46,0)</f>
        <v>0</v>
      </c>
      <c r="Q46" s="49" t="s">
        <v>28</v>
      </c>
      <c r="S46" s="41"/>
    </row>
    <row r="47" spans="1:26" ht="15.75">
      <c r="A47" s="6">
        <f t="shared" si="1"/>
        <v>46</v>
      </c>
      <c r="D47" s="22" t="b">
        <f>AND($D$1=4,$H$9=1,'Simulazione 8.4'!$C$4&lt;=200,'Simulazione 8.4'!$C$4&gt;20)</f>
        <v>0</v>
      </c>
      <c r="E47" s="28" t="s">
        <v>8</v>
      </c>
      <c r="F47" s="42">
        <v>131</v>
      </c>
      <c r="G47" s="43">
        <f t="shared" si="25"/>
        <v>49</v>
      </c>
      <c r="H47" s="61">
        <f t="shared" si="26"/>
        <v>0</v>
      </c>
      <c r="I47" s="61">
        <f t="shared" si="27"/>
        <v>0</v>
      </c>
      <c r="J47" s="22" t="b">
        <f>AND($D$1=4,$H$9=4,'Simulazione 8.4'!$C$4&lt;=200,'Simulazione 8.4'!$C$4&gt;20)</f>
        <v>0</v>
      </c>
      <c r="K47" s="28" t="s">
        <v>8</v>
      </c>
      <c r="L47" s="42">
        <v>126</v>
      </c>
      <c r="M47" s="43">
        <f t="shared" si="28"/>
        <v>44</v>
      </c>
      <c r="N47" s="5">
        <f t="shared" si="29"/>
        <v>0</v>
      </c>
      <c r="O47" s="5">
        <f t="shared" si="30"/>
        <v>0</v>
      </c>
      <c r="Q47" s="49" t="s">
        <v>75</v>
      </c>
      <c r="S47" s="41"/>
    </row>
    <row r="48" spans="1:26" ht="15.75">
      <c r="A48" s="6">
        <f t="shared" si="1"/>
        <v>47</v>
      </c>
      <c r="D48" s="22" t="b">
        <f>AND($D$1=4,$H$9=1,'Simulazione 8.4'!$C$4&lt;=1000,'Simulazione 8.4'!$C$4&gt;200)</f>
        <v>0</v>
      </c>
      <c r="E48" s="28" t="s">
        <v>9</v>
      </c>
      <c r="F48" s="38">
        <v>111</v>
      </c>
      <c r="G48" s="39">
        <f t="shared" si="25"/>
        <v>29</v>
      </c>
      <c r="H48" s="61">
        <f t="shared" si="26"/>
        <v>0</v>
      </c>
      <c r="I48" s="61">
        <f t="shared" si="27"/>
        <v>0</v>
      </c>
      <c r="J48" s="22" t="b">
        <f>AND($D$1=4,$H$9=4,'Simulazione 8.4'!$C$4&lt;=1000,'Simulazione 8.4'!$C$4&gt;200)</f>
        <v>0</v>
      </c>
      <c r="K48" s="28" t="s">
        <v>9</v>
      </c>
      <c r="L48" s="38">
        <v>107</v>
      </c>
      <c r="M48" s="39">
        <f t="shared" si="28"/>
        <v>25</v>
      </c>
      <c r="N48" s="5">
        <f t="shared" si="29"/>
        <v>0</v>
      </c>
      <c r="O48" s="5">
        <f t="shared" si="30"/>
        <v>0</v>
      </c>
      <c r="Q48" s="49"/>
      <c r="S48" s="41"/>
    </row>
    <row r="49" spans="1:19" ht="15.75">
      <c r="A49" s="6">
        <f t="shared" si="1"/>
        <v>48</v>
      </c>
      <c r="D49" s="22" t="b">
        <f>AND($D$1=4,$H$9=1,'Simulazione 8.4'!$C$4&lt;=5000,'Simulazione 8.4'!$C$4&gt;1000)</f>
        <v>0</v>
      </c>
      <c r="E49" s="28" t="s">
        <v>10</v>
      </c>
      <c r="F49" s="42">
        <v>105</v>
      </c>
      <c r="G49" s="43">
        <f t="shared" si="25"/>
        <v>23</v>
      </c>
      <c r="H49" s="61">
        <f t="shared" si="26"/>
        <v>0</v>
      </c>
      <c r="I49" s="61">
        <f t="shared" si="27"/>
        <v>0</v>
      </c>
      <c r="J49" s="22" t="b">
        <f>AND($D$1=4,$H$9=4,'Simulazione 8.4'!$C$4&lt;=5000,'Simulazione 8.4'!$C$4&gt;1000)</f>
        <v>0</v>
      </c>
      <c r="K49" s="28" t="s">
        <v>10</v>
      </c>
      <c r="L49" s="42">
        <v>101</v>
      </c>
      <c r="M49" s="43">
        <f t="shared" si="28"/>
        <v>19</v>
      </c>
      <c r="N49" s="5">
        <f t="shared" si="29"/>
        <v>0</v>
      </c>
      <c r="O49" s="5">
        <f t="shared" si="30"/>
        <v>0</v>
      </c>
      <c r="Q49" s="49">
        <v>1</v>
      </c>
      <c r="S49" s="41"/>
    </row>
    <row r="50" spans="1:19" ht="16.5" thickBot="1">
      <c r="A50" s="6">
        <f t="shared" si="1"/>
        <v>49</v>
      </c>
      <c r="D50" s="29" t="b">
        <f>AND($D$1=4,$H$9=1,'Simulazione 8.4'!$C$4&gt;=5000)</f>
        <v>0</v>
      </c>
      <c r="E50" s="30" t="s">
        <v>11</v>
      </c>
      <c r="F50" s="47">
        <v>99</v>
      </c>
      <c r="G50" s="48">
        <f t="shared" si="25"/>
        <v>17</v>
      </c>
      <c r="H50" s="61">
        <f t="shared" si="26"/>
        <v>0</v>
      </c>
      <c r="I50" s="61">
        <f t="shared" si="27"/>
        <v>0</v>
      </c>
      <c r="J50" s="29" t="b">
        <f>AND($D$1=4,$H$9=4,'Simulazione 8.4'!$C$4&gt;=5000)</f>
        <v>0</v>
      </c>
      <c r="K50" s="30" t="s">
        <v>11</v>
      </c>
      <c r="L50" s="47">
        <v>95</v>
      </c>
      <c r="M50" s="48">
        <f t="shared" si="28"/>
        <v>13</v>
      </c>
      <c r="N50" s="5">
        <f t="shared" si="29"/>
        <v>0</v>
      </c>
      <c r="O50" s="5">
        <f t="shared" si="30"/>
        <v>0</v>
      </c>
    </row>
    <row r="51" spans="1:19" ht="16.5" thickBot="1">
      <c r="A51" s="6">
        <f t="shared" si="1"/>
        <v>50</v>
      </c>
      <c r="D51" s="41"/>
      <c r="E51" s="41"/>
      <c r="F51" s="44"/>
      <c r="G51" s="44"/>
      <c r="H51" s="33">
        <f>IF($H$9=1,H45+H46+H47+H48+H49+H50,0)</f>
        <v>0</v>
      </c>
      <c r="I51" s="33">
        <f>IF($H$9=1,I45+I46+I47+I48+I49+I50,0)</f>
        <v>0</v>
      </c>
      <c r="J51" s="41"/>
      <c r="K51" s="44"/>
      <c r="L51" s="44"/>
      <c r="M51" s="44"/>
      <c r="N51" s="33">
        <f>IF($H$9=4,N45+N46+N47+N48+N49+N50,0)</f>
        <v>0</v>
      </c>
      <c r="O51" s="33">
        <f>IF($H$9=4,O45+O46+O47+O48+O49+O50,0)</f>
        <v>0</v>
      </c>
      <c r="P51" s="21"/>
      <c r="Q51" s="21" t="s">
        <v>28</v>
      </c>
      <c r="R51" s="21"/>
    </row>
    <row r="52" spans="1:19">
      <c r="A52" s="6">
        <f t="shared" si="1"/>
        <v>51</v>
      </c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69" t="b">
        <f>AND(Q49=1,'Simulazione 8.4'!C36&lt;'Simulazione 8.4'!C35)</f>
        <v>1</v>
      </c>
      <c r="S52" s="6">
        <f>IF(Q52=TRUE,'Simulazione 8.4'!$C$36/100*Calcoli!$S$41,0)</f>
        <v>1250</v>
      </c>
    </row>
    <row r="53" spans="1:19">
      <c r="A53" s="6">
        <f t="shared" si="1"/>
        <v>52</v>
      </c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69" t="b">
        <f>AND(Q49=1,'Simulazione 8.4'!C36&gt;='Simulazione 8.4'!C35)</f>
        <v>0</v>
      </c>
      <c r="S53" s="6">
        <f>IF(Q53=TRUE,'Simulazione 8.4'!$C$35/100*Calcoli!$S$41,0)</f>
        <v>0</v>
      </c>
    </row>
    <row r="54" spans="1:19">
      <c r="A54" s="6">
        <f t="shared" si="1"/>
        <v>53</v>
      </c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1:19">
      <c r="A55" s="6">
        <f t="shared" si="1"/>
        <v>54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6" spans="1:19">
      <c r="A56" s="6">
        <f t="shared" si="1"/>
        <v>55</v>
      </c>
    </row>
    <row r="57" spans="1:19" ht="15.75" thickBot="1">
      <c r="A57" s="6">
        <f t="shared" si="1"/>
        <v>56</v>
      </c>
      <c r="Q57" s="61" t="b">
        <f>AND($Q$49=1,$D$1=6)</f>
        <v>0</v>
      </c>
    </row>
    <row r="58" spans="1:19" ht="15.75">
      <c r="A58" s="6">
        <f t="shared" si="1"/>
        <v>57</v>
      </c>
      <c r="D58" s="62"/>
      <c r="E58" s="63"/>
      <c r="F58" s="64" t="s">
        <v>2</v>
      </c>
      <c r="G58" s="65" t="s">
        <v>3</v>
      </c>
      <c r="H58" s="40"/>
      <c r="I58" s="40"/>
      <c r="J58" s="62"/>
      <c r="K58" s="63"/>
      <c r="L58" s="64" t="s">
        <v>2</v>
      </c>
      <c r="M58" s="65" t="s">
        <v>3</v>
      </c>
      <c r="N58" s="38"/>
      <c r="O58" s="38"/>
      <c r="P58" s="61"/>
    </row>
    <row r="59" spans="1:19" ht="15.75">
      <c r="A59" s="6">
        <f t="shared" si="1"/>
        <v>58</v>
      </c>
      <c r="D59" s="22" t="b">
        <f>AND($D$1=5,$H$9=1,'Simulazione 8.4'!$C$4&lt;=3,'Simulazione 8.4'!$C$4&gt;=1)</f>
        <v>0</v>
      </c>
      <c r="E59" s="28" t="s">
        <v>6</v>
      </c>
      <c r="F59" s="42">
        <v>133</v>
      </c>
      <c r="G59" s="43">
        <f t="shared" ref="G59:G64" si="31">F59-82</f>
        <v>51</v>
      </c>
      <c r="H59" s="44">
        <f t="shared" ref="H59:H64" si="32">IF(D59=TRUE,F59,0)</f>
        <v>0</v>
      </c>
      <c r="I59" s="61">
        <f t="shared" ref="I59:I64" si="33">IF(D59=TRUE,G59,0)</f>
        <v>0</v>
      </c>
      <c r="J59" s="22" t="b">
        <f>AND($D$1=5,$H$9=4,'Simulazione 8.4'!$C$4&lt;=3,'Simulazione 8.4'!$C$4&gt;=1)</f>
        <v>0</v>
      </c>
      <c r="K59" s="28" t="s">
        <v>6</v>
      </c>
      <c r="L59" s="42">
        <v>130</v>
      </c>
      <c r="M59" s="43">
        <f t="shared" ref="M59:M64" si="34">L59-82</f>
        <v>48</v>
      </c>
      <c r="N59" s="5">
        <f>IF(J59=TRUE,L59,0)</f>
        <v>0</v>
      </c>
      <c r="O59" s="5">
        <f>IF(J59=TRUE,M59,0)</f>
        <v>0</v>
      </c>
      <c r="P59" s="61"/>
    </row>
    <row r="60" spans="1:19" ht="15.75">
      <c r="A60" s="6">
        <f t="shared" si="1"/>
        <v>59</v>
      </c>
      <c r="D60" s="22" t="b">
        <f>AND($D$1=5,$H$9=1,'Simulazione 8.4'!$C$4&lt;=20,'Simulazione 8.4'!$C$4&gt;3)</f>
        <v>0</v>
      </c>
      <c r="E60" s="28" t="s">
        <v>7</v>
      </c>
      <c r="F60" s="42">
        <v>128</v>
      </c>
      <c r="G60" s="43">
        <f t="shared" si="31"/>
        <v>46</v>
      </c>
      <c r="H60" s="44">
        <f t="shared" si="32"/>
        <v>0</v>
      </c>
      <c r="I60" s="61">
        <f t="shared" si="33"/>
        <v>0</v>
      </c>
      <c r="J60" s="22" t="b">
        <f>AND($D$1=5,$H$9=4,'Simulazione 8.4'!$C$4&lt;=20,'Simulazione 8.4'!$C$4&gt;3)</f>
        <v>0</v>
      </c>
      <c r="K60" s="28" t="s">
        <v>7</v>
      </c>
      <c r="L60" s="42">
        <v>124</v>
      </c>
      <c r="M60" s="43">
        <f t="shared" si="34"/>
        <v>42</v>
      </c>
      <c r="N60" s="5">
        <f t="shared" ref="N60:N64" si="35">IF(J60=TRUE,L60,0)</f>
        <v>0</v>
      </c>
      <c r="O60" s="5">
        <f t="shared" ref="O60:O64" si="36">IF(J60=TRUE,M60,0)</f>
        <v>0</v>
      </c>
    </row>
    <row r="61" spans="1:19" ht="15.75">
      <c r="A61" s="6">
        <f t="shared" si="1"/>
        <v>60</v>
      </c>
      <c r="D61" s="22" t="b">
        <f>AND($D$1=5,$H$9=1,'Simulazione 8.4'!$C$4&lt;=200,'Simulazione 8.4'!$C$4&gt;20)</f>
        <v>0</v>
      </c>
      <c r="E61" s="28" t="s">
        <v>8</v>
      </c>
      <c r="F61" s="42">
        <v>122</v>
      </c>
      <c r="G61" s="43">
        <f t="shared" si="31"/>
        <v>40</v>
      </c>
      <c r="H61" s="44">
        <f t="shared" si="32"/>
        <v>0</v>
      </c>
      <c r="I61" s="61">
        <f t="shared" si="33"/>
        <v>0</v>
      </c>
      <c r="J61" s="22" t="b">
        <f>AND($D$1=5,$H$9=4,'Simulazione 8.4'!$C$4&lt;=200,'Simulazione 8.4'!$C$4&gt;20)</f>
        <v>0</v>
      </c>
      <c r="K61" s="28" t="s">
        <v>8</v>
      </c>
      <c r="L61" s="42">
        <v>118</v>
      </c>
      <c r="M61" s="43">
        <f t="shared" si="34"/>
        <v>36</v>
      </c>
      <c r="N61" s="5">
        <f t="shared" si="35"/>
        <v>0</v>
      </c>
      <c r="O61" s="5">
        <f t="shared" si="36"/>
        <v>0</v>
      </c>
    </row>
    <row r="62" spans="1:19" ht="15.75">
      <c r="A62" s="6">
        <f t="shared" si="1"/>
        <v>61</v>
      </c>
      <c r="D62" s="22" t="b">
        <f>AND($D$1=5,$H$9=1,'Simulazione 8.4'!$C$4&lt;=1000,'Simulazione 8.4'!$C$4&gt;200)</f>
        <v>0</v>
      </c>
      <c r="E62" s="28" t="s">
        <v>9</v>
      </c>
      <c r="F62" s="38">
        <v>106</v>
      </c>
      <c r="G62" s="39">
        <f t="shared" si="31"/>
        <v>24</v>
      </c>
      <c r="H62" s="40">
        <f t="shared" si="32"/>
        <v>0</v>
      </c>
      <c r="I62" s="61">
        <f t="shared" si="33"/>
        <v>0</v>
      </c>
      <c r="J62" s="22" t="b">
        <f>AND($D$1=5,$H$9=4,'Simulazione 8.4'!$C$4&lt;=1000,'Simulazione 8.4'!$C$4&gt;200)</f>
        <v>0</v>
      </c>
      <c r="K62" s="28" t="s">
        <v>9</v>
      </c>
      <c r="L62" s="38">
        <v>102</v>
      </c>
      <c r="M62" s="39">
        <f t="shared" si="34"/>
        <v>20</v>
      </c>
      <c r="N62" s="5">
        <f t="shared" si="35"/>
        <v>0</v>
      </c>
      <c r="O62" s="5">
        <f t="shared" si="36"/>
        <v>0</v>
      </c>
    </row>
    <row r="63" spans="1:19" ht="15.75">
      <c r="A63" s="6">
        <f t="shared" si="1"/>
        <v>62</v>
      </c>
      <c r="D63" s="22" t="b">
        <f>AND($D$1=5,$H$9=1,'Simulazione 8.4'!$C$4&lt;=5000,'Simulazione 8.4'!$C$4&gt;1000)</f>
        <v>0</v>
      </c>
      <c r="E63" s="28" t="s">
        <v>10</v>
      </c>
      <c r="F63" s="42">
        <v>100</v>
      </c>
      <c r="G63" s="43">
        <f t="shared" si="31"/>
        <v>18</v>
      </c>
      <c r="H63" s="44">
        <f t="shared" si="32"/>
        <v>0</v>
      </c>
      <c r="I63" s="61">
        <f t="shared" si="33"/>
        <v>0</v>
      </c>
      <c r="J63" s="22" t="b">
        <f>AND($D$1=5,$H$9=4,'Simulazione 8.4'!$C$4&lt;=5000,'Simulazione 8.4'!$C$4&gt;1000)</f>
        <v>0</v>
      </c>
      <c r="K63" s="28" t="s">
        <v>10</v>
      </c>
      <c r="L63" s="42">
        <v>97</v>
      </c>
      <c r="M63" s="43">
        <f t="shared" si="34"/>
        <v>15</v>
      </c>
      <c r="N63" s="5">
        <f t="shared" si="35"/>
        <v>0</v>
      </c>
      <c r="O63" s="5">
        <f t="shared" si="36"/>
        <v>0</v>
      </c>
    </row>
    <row r="64" spans="1:19" ht="16.5" thickBot="1">
      <c r="A64" s="6">
        <f t="shared" si="1"/>
        <v>63</v>
      </c>
      <c r="D64" s="29" t="b">
        <f>AND($D$1=5,$H$9=1,'Simulazione 8.4'!$C$4&gt;=5000)</f>
        <v>0</v>
      </c>
      <c r="E64" s="30" t="s">
        <v>11</v>
      </c>
      <c r="F64" s="47">
        <v>95</v>
      </c>
      <c r="G64" s="48">
        <f t="shared" si="31"/>
        <v>13</v>
      </c>
      <c r="H64" s="44">
        <f t="shared" si="32"/>
        <v>0</v>
      </c>
      <c r="I64" s="61">
        <f t="shared" si="33"/>
        <v>0</v>
      </c>
      <c r="J64" s="29" t="b">
        <f>AND($D$1=5,$H$9=4,'Simulazione 8.4'!$C$4&gt;=5000)</f>
        <v>0</v>
      </c>
      <c r="K64" s="30" t="s">
        <v>11</v>
      </c>
      <c r="L64" s="47">
        <v>92</v>
      </c>
      <c r="M64" s="48">
        <f t="shared" si="34"/>
        <v>10</v>
      </c>
      <c r="N64" s="5">
        <f t="shared" si="35"/>
        <v>0</v>
      </c>
      <c r="O64" s="5">
        <f t="shared" si="36"/>
        <v>0</v>
      </c>
    </row>
    <row r="65" spans="1:28" ht="16.5" thickBot="1">
      <c r="A65" s="6">
        <f t="shared" si="1"/>
        <v>64</v>
      </c>
      <c r="D65" s="41"/>
      <c r="E65" s="41"/>
      <c r="F65" s="44"/>
      <c r="G65" s="44"/>
      <c r="H65" s="33">
        <f>IF($H$9=1,H59+H60+H61+H62+H63+H64,0)</f>
        <v>0</v>
      </c>
      <c r="I65" s="33">
        <f>IF($H$9=1,I59+I60+I61+I62+I63+I64,0)</f>
        <v>0</v>
      </c>
      <c r="J65" s="44"/>
      <c r="K65" s="44"/>
      <c r="L65" s="44"/>
      <c r="M65" s="44"/>
      <c r="N65" s="33">
        <f>IF($H$9=4,N59+N60+N61+N62+N63+N64,0)</f>
        <v>0</v>
      </c>
      <c r="O65" s="33">
        <f>IF($H$9=4,O59+O60+O61+O62+O63+O64,0)</f>
        <v>0</v>
      </c>
    </row>
    <row r="66" spans="1:28">
      <c r="A66" s="6">
        <f t="shared" si="1"/>
        <v>65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1:28">
      <c r="A67" s="6">
        <f t="shared" si="1"/>
        <v>66</v>
      </c>
      <c r="D67" s="77">
        <f>IF($D$76&gt;1,'Simulazione 8.4'!E76+'Simulazione 8.4'!E77+'Simulazione 8.4'!E78+'Simulazione 8.4'!E80+'Simulazione 8.4'!E82-'Simulazione 8.4'!E85-'Simulazione 8.4'!E91-'Simulazione 8.4'!E93-'Simulazione 8.4'!E94,0)</f>
        <v>0</v>
      </c>
      <c r="E67" s="77">
        <f>IF($D$76&gt;1,'Simulazione 8.4'!F76+'Simulazione 8.4'!F77+'Simulazione 8.4'!F78+'Simulazione 8.4'!F80+'Simulazione 8.4'!F82-'Simulazione 8.4'!F85-'Simulazione 8.4'!F91-'Simulazione 8.4'!F93-'Simulazione 8.4'!F94,0)</f>
        <v>0</v>
      </c>
      <c r="F67" s="77">
        <f>IF($D$76&gt;1,'Simulazione 8.4'!G76+'Simulazione 8.4'!G77+'Simulazione 8.4'!G78+'Simulazione 8.4'!G80+'Simulazione 8.4'!G82-'Simulazione 8.4'!G85-'Simulazione 8.4'!G91-'Simulazione 8.4'!G93-'Simulazione 8.4'!G94,0)</f>
        <v>0</v>
      </c>
      <c r="G67" s="77">
        <f>IF($D$76&gt;1,'Simulazione 8.4'!H76+'Simulazione 8.4'!H77+'Simulazione 8.4'!H78+'Simulazione 8.4'!H80+'Simulazione 8.4'!H82-'Simulazione 8.4'!H85-'Simulazione 8.4'!H91-'Simulazione 8.4'!H93-'Simulazione 8.4'!H94,0)</f>
        <v>0</v>
      </c>
      <c r="H67" s="77">
        <f>IF($D$76&gt;1,'Simulazione 8.4'!I76+'Simulazione 8.4'!I77+'Simulazione 8.4'!I78+'Simulazione 8.4'!I80+'Simulazione 8.4'!I82-'Simulazione 8.4'!I85-'Simulazione 8.4'!I91-'Simulazione 8.4'!I93-'Simulazione 8.4'!I94,0)</f>
        <v>0</v>
      </c>
      <c r="I67" s="77">
        <f>IF($D$76&gt;1,'Simulazione 8.4'!J76+'Simulazione 8.4'!J77+'Simulazione 8.4'!J78+'Simulazione 8.4'!J80+'Simulazione 8.4'!J82-'Simulazione 8.4'!J85-'Simulazione 8.4'!J91-'Simulazione 8.4'!J93-'Simulazione 8.4'!J94,0)</f>
        <v>0</v>
      </c>
      <c r="J67" s="77">
        <f>IF($D$76&gt;1,'Simulazione 8.4'!K76+'Simulazione 8.4'!K77+'Simulazione 8.4'!K78+'Simulazione 8.4'!K80+'Simulazione 8.4'!K82-'Simulazione 8.4'!K85-'Simulazione 8.4'!K91-'Simulazione 8.4'!K93-'Simulazione 8.4'!K94,0)</f>
        <v>0</v>
      </c>
      <c r="K67" s="77">
        <f>IF($D$76&gt;1,'Simulazione 8.4'!L76+'Simulazione 8.4'!L77+'Simulazione 8.4'!L78+'Simulazione 8.4'!L80+'Simulazione 8.4'!L82-'Simulazione 8.4'!L85-'Simulazione 8.4'!L91-'Simulazione 8.4'!L93-'Simulazione 8.4'!L94,0)</f>
        <v>0</v>
      </c>
      <c r="L67" s="77">
        <f>IF($D$76&gt;1,'Simulazione 8.4'!M76+'Simulazione 8.4'!M77+'Simulazione 8.4'!M78+'Simulazione 8.4'!M80+'Simulazione 8.4'!M82-'Simulazione 8.4'!M85-'Simulazione 8.4'!M91-'Simulazione 8.4'!M93-'Simulazione 8.4'!M94,0)</f>
        <v>0</v>
      </c>
      <c r="M67" s="77">
        <f>IF($D$76&gt;1,'Simulazione 8.4'!N76+'Simulazione 8.4'!N77+'Simulazione 8.4'!N78+'Simulazione 8.4'!N80+'Simulazione 8.4'!N82-'Simulazione 8.4'!N85-'Simulazione 8.4'!N91-'Simulazione 8.4'!N93-'Simulazione 8.4'!N94,0)</f>
        <v>0</v>
      </c>
      <c r="N67" s="77">
        <f>IF($D$76&gt;1,'Simulazione 8.4'!O76+'Simulazione 8.4'!O77+'Simulazione 8.4'!O78+'Simulazione 8.4'!O80+'Simulazione 8.4'!O82-'Simulazione 8.4'!O85-'Simulazione 8.4'!O91-'Simulazione 8.4'!O93-'Simulazione 8.4'!O94,0)</f>
        <v>0</v>
      </c>
      <c r="O67" s="77">
        <f>IF($D$76&gt;1,'Simulazione 8.4'!P76+'Simulazione 8.4'!P77+'Simulazione 8.4'!P78+'Simulazione 8.4'!P80+'Simulazione 8.4'!P82-'Simulazione 8.4'!P85-'Simulazione 8.4'!P91-'Simulazione 8.4'!P93-'Simulazione 8.4'!P94,0)</f>
        <v>0</v>
      </c>
      <c r="P67" s="77">
        <f>IF($D$76&gt;1,'Simulazione 8.4'!Q76+'Simulazione 8.4'!Q77+'Simulazione 8.4'!Q78+'Simulazione 8.4'!Q80+'Simulazione 8.4'!Q82-'Simulazione 8.4'!Q85-'Simulazione 8.4'!Q91-'Simulazione 8.4'!Q93-'Simulazione 8.4'!Q94,0)</f>
        <v>0</v>
      </c>
      <c r="Q67" s="77">
        <f>IF($D$76&gt;1,'Simulazione 8.4'!R76+'Simulazione 8.4'!R77+'Simulazione 8.4'!R78+'Simulazione 8.4'!R80+'Simulazione 8.4'!R82-'Simulazione 8.4'!R85-'Simulazione 8.4'!R91-'Simulazione 8.4'!R93-'Simulazione 8.4'!R94,0)</f>
        <v>0</v>
      </c>
      <c r="R67" s="77">
        <f>IF($D$76&gt;1,'Simulazione 8.4'!S76+'Simulazione 8.4'!S77+'Simulazione 8.4'!S78+'Simulazione 8.4'!S80+'Simulazione 8.4'!S82-'Simulazione 8.4'!S85-'Simulazione 8.4'!S91-'Simulazione 8.4'!S93-'Simulazione 8.4'!S94,0)</f>
        <v>0</v>
      </c>
      <c r="S67" s="77">
        <f>IF($D$76&gt;1,'Simulazione 8.4'!T76+'Simulazione 8.4'!T77+'Simulazione 8.4'!T78+'Simulazione 8.4'!T80+'Simulazione 8.4'!T82-'Simulazione 8.4'!T85-'Simulazione 8.4'!T91-'Simulazione 8.4'!T93-'Simulazione 8.4'!T94,0)</f>
        <v>0</v>
      </c>
      <c r="T67" s="78">
        <f>IF($D$76&gt;1,'Simulazione 8.4'!U76+'Simulazione 8.4'!U77+'Simulazione 8.4'!U78+'Simulazione 8.4'!U80+'Simulazione 8.4'!U82-'Simulazione 8.4'!U85-'Simulazione 8.4'!U91-'Simulazione 8.4'!U93-'Simulazione 8.4'!U94,0)</f>
        <v>0</v>
      </c>
      <c r="U67" s="77">
        <f>IF($D$76&gt;1,'Simulazione 8.4'!V76+'Simulazione 8.4'!V77+'Simulazione 8.4'!V78+'Simulazione 8.4'!V80+'Simulazione 8.4'!V82-'Simulazione 8.4'!V85-'Simulazione 8.4'!V91-'Simulazione 8.4'!V93-'Simulazione 8.4'!V94,0)</f>
        <v>0</v>
      </c>
      <c r="V67" s="77">
        <f>IF($D$76&gt;1,'Simulazione 8.4'!W76+'Simulazione 8.4'!W77+'Simulazione 8.4'!W78+'Simulazione 8.4'!W80+'Simulazione 8.4'!W82-'Simulazione 8.4'!W85-'Simulazione 8.4'!W91-'Simulazione 8.4'!W93-'Simulazione 8.4'!W94,0)</f>
        <v>0</v>
      </c>
      <c r="W67" s="77">
        <f>IF($D$76&gt;1,'Simulazione 8.4'!X76+'Simulazione 8.4'!X77+'Simulazione 8.4'!X78+'Simulazione 8.4'!X80+'Simulazione 8.4'!X82-'Simulazione 8.4'!X85-'Simulazione 8.4'!X91-'Simulazione 8.4'!X93-'Simulazione 8.4'!X94,0)</f>
        <v>0</v>
      </c>
      <c r="X67" s="77">
        <f>IF($D$76&gt;1,'Simulazione 8.4'!Y76+'Simulazione 8.4'!Y77+'Simulazione 8.4'!Y78+'Simulazione 8.4'!Y80+'Simulazione 8.4'!Y82-'Simulazione 8.4'!Y85-'Simulazione 8.4'!Y91-'Simulazione 8.4'!Y93-'Simulazione 8.4'!Y94,0)</f>
        <v>0</v>
      </c>
      <c r="Y67" s="77">
        <f>IF($D$76&gt;1,'Simulazione 8.4'!Z76+'Simulazione 8.4'!Z77+'Simulazione 8.4'!Z78+'Simulazione 8.4'!Z80+'Simulazione 8.4'!Z82-'Simulazione 8.4'!Z85-'Simulazione 8.4'!Z91-'Simulazione 8.4'!Z93-'Simulazione 8.4'!Z94,0)</f>
        <v>0</v>
      </c>
      <c r="Z67" s="77">
        <f>IF($D$76&gt;1,'Simulazione 8.4'!AA76+'Simulazione 8.4'!AA77+'Simulazione 8.4'!AA78+'Simulazione 8.4'!AA80+'Simulazione 8.4'!AA82-'Simulazione 8.4'!AA85-'Simulazione 8.4'!AA91-'Simulazione 8.4'!AA93-'Simulazione 8.4'!AA94,0)</f>
        <v>0</v>
      </c>
      <c r="AA67" s="77">
        <f>IF($D$76&gt;1,'Simulazione 8.4'!AB76+'Simulazione 8.4'!AB77+'Simulazione 8.4'!AB78+'Simulazione 8.4'!AB80+'Simulazione 8.4'!AB82-'Simulazione 8.4'!AB85-'Simulazione 8.4'!AB91-'Simulazione 8.4'!AB93-'Simulazione 8.4'!AB94,0)</f>
        <v>0</v>
      </c>
      <c r="AB67" s="77">
        <f>IF($D$76&gt;1,'Simulazione 8.4'!AC76+'Simulazione 8.4'!AC77+'Simulazione 8.4'!AC78+'Simulazione 8.4'!AC80+'Simulazione 8.4'!AC82-'Simulazione 8.4'!AC85-'Simulazione 8.4'!AC91-'Simulazione 8.4'!AC93-'Simulazione 8.4'!AC94,0)</f>
        <v>0</v>
      </c>
    </row>
    <row r="68" spans="1:28">
      <c r="A68" s="6">
        <f t="shared" ref="A68:A101" si="37">A67+1</f>
        <v>67</v>
      </c>
      <c r="D68" s="6">
        <f t="shared" ref="D68:I68" si="38">IF(D67&gt;0,D67,0)</f>
        <v>0</v>
      </c>
      <c r="E68" s="78">
        <f t="shared" si="38"/>
        <v>0</v>
      </c>
      <c r="F68" s="78">
        <f t="shared" si="38"/>
        <v>0</v>
      </c>
      <c r="G68" s="78">
        <f t="shared" si="38"/>
        <v>0</v>
      </c>
      <c r="H68" s="78">
        <f t="shared" si="38"/>
        <v>0</v>
      </c>
      <c r="I68" s="78">
        <f t="shared" si="38"/>
        <v>0</v>
      </c>
      <c r="J68" s="78">
        <f t="shared" ref="J68:AB68" si="39">IF(J67&gt;0,J67,0)</f>
        <v>0</v>
      </c>
      <c r="K68" s="78">
        <f t="shared" si="39"/>
        <v>0</v>
      </c>
      <c r="L68" s="78">
        <f t="shared" si="39"/>
        <v>0</v>
      </c>
      <c r="M68" s="78">
        <f t="shared" si="39"/>
        <v>0</v>
      </c>
      <c r="N68" s="78">
        <f t="shared" si="39"/>
        <v>0</v>
      </c>
      <c r="O68" s="78">
        <f t="shared" si="39"/>
        <v>0</v>
      </c>
      <c r="P68" s="78">
        <f t="shared" si="39"/>
        <v>0</v>
      </c>
      <c r="Q68" s="78">
        <f t="shared" si="39"/>
        <v>0</v>
      </c>
      <c r="R68" s="78">
        <f t="shared" si="39"/>
        <v>0</v>
      </c>
      <c r="S68" s="78">
        <f t="shared" si="39"/>
        <v>0</v>
      </c>
      <c r="T68" s="78">
        <f t="shared" si="39"/>
        <v>0</v>
      </c>
      <c r="U68" s="78">
        <f t="shared" si="39"/>
        <v>0</v>
      </c>
      <c r="V68" s="78">
        <f t="shared" si="39"/>
        <v>0</v>
      </c>
      <c r="W68" s="78">
        <f t="shared" si="39"/>
        <v>0</v>
      </c>
      <c r="X68" s="78">
        <f t="shared" si="39"/>
        <v>0</v>
      </c>
      <c r="Y68" s="78">
        <f t="shared" si="39"/>
        <v>0</v>
      </c>
      <c r="Z68" s="78">
        <f t="shared" si="39"/>
        <v>0</v>
      </c>
      <c r="AA68" s="78">
        <f t="shared" si="39"/>
        <v>0</v>
      </c>
      <c r="AB68" s="78">
        <f t="shared" si="39"/>
        <v>0</v>
      </c>
    </row>
    <row r="69" spans="1:28">
      <c r="A69" s="6">
        <f t="shared" si="37"/>
        <v>68</v>
      </c>
    </row>
    <row r="70" spans="1:28">
      <c r="A70" s="6">
        <f t="shared" si="37"/>
        <v>69</v>
      </c>
      <c r="C70" s="6">
        <v>1</v>
      </c>
      <c r="D70" s="6" t="s">
        <v>91</v>
      </c>
    </row>
    <row r="71" spans="1:28">
      <c r="A71" s="6">
        <f t="shared" si="37"/>
        <v>70</v>
      </c>
      <c r="C71" s="6">
        <v>2</v>
      </c>
      <c r="D71" s="6" t="s">
        <v>113</v>
      </c>
      <c r="I71" s="57" t="s">
        <v>88</v>
      </c>
      <c r="L71" s="57" t="s">
        <v>126</v>
      </c>
      <c r="N71" s="6" t="s">
        <v>130</v>
      </c>
    </row>
    <row r="72" spans="1:28">
      <c r="A72" s="6">
        <f t="shared" si="37"/>
        <v>71</v>
      </c>
      <c r="C72" s="6">
        <v>3</v>
      </c>
      <c r="D72" s="6" t="s">
        <v>112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8.4'!$C$4&lt;=50)</f>
        <v>1</v>
      </c>
      <c r="O72" s="6">
        <v>200</v>
      </c>
      <c r="P72" s="6">
        <f>IF(N72=TRUE,O72,0)</f>
        <v>200</v>
      </c>
    </row>
    <row r="73" spans="1:28">
      <c r="A73" s="6">
        <f t="shared" si="37"/>
        <v>72</v>
      </c>
      <c r="C73" s="6">
        <v>4</v>
      </c>
      <c r="D73" s="6" t="s">
        <v>111</v>
      </c>
      <c r="I73" s="57" t="s">
        <v>123</v>
      </c>
      <c r="M73" s="6">
        <v>2</v>
      </c>
      <c r="N73" s="6" t="b">
        <f>AND('Simulazione 8.4'!$C$4&lt;=100,'Simulazione 8.4'!$C$4&gt;50)</f>
        <v>0</v>
      </c>
      <c r="O73" s="6">
        <v>300</v>
      </c>
      <c r="P73" s="6">
        <f>IF(N73=TRUE,O73,0)</f>
        <v>0</v>
      </c>
      <c r="Q73" s="115"/>
    </row>
    <row r="74" spans="1:28">
      <c r="A74" s="6">
        <f t="shared" si="37"/>
        <v>73</v>
      </c>
      <c r="C74" s="6">
        <v>5</v>
      </c>
      <c r="D74" s="6" t="s">
        <v>156</v>
      </c>
      <c r="I74" s="6" t="b">
        <f>OR(D76=3,D76=4,D76=5)</f>
        <v>0</v>
      </c>
      <c r="M74" s="6">
        <v>3</v>
      </c>
      <c r="N74" s="6" t="b">
        <f>AND('Simulazione 8.4'!$C$4&lt;=500,'Simulazione 8.4'!$C$4&gt;100)</f>
        <v>0</v>
      </c>
      <c r="O74" s="6">
        <v>600</v>
      </c>
      <c r="P74" s="6">
        <f>IF(N74=TRUE,O74,0)</f>
        <v>0</v>
      </c>
      <c r="Q74" s="115"/>
    </row>
    <row r="75" spans="1:28">
      <c r="A75" s="6">
        <f t="shared" si="37"/>
        <v>74</v>
      </c>
      <c r="C75" s="6">
        <v>6</v>
      </c>
      <c r="D75" s="6" t="s">
        <v>122</v>
      </c>
      <c r="I75" s="57" t="s">
        <v>124</v>
      </c>
      <c r="M75" s="6">
        <v>4</v>
      </c>
      <c r="N75" s="6" t="b">
        <f>AND('Simulazione 8.4'!$C$4&lt;=1000,'Simulazione 8.4'!$C$4&gt;500)</f>
        <v>0</v>
      </c>
      <c r="O75" s="6">
        <v>1600</v>
      </c>
      <c r="P75" s="6">
        <f>IF(N75=TRUE,O75,0)</f>
        <v>0</v>
      </c>
      <c r="Q75" s="115"/>
    </row>
    <row r="76" spans="1:28">
      <c r="A76" s="6">
        <f t="shared" si="37"/>
        <v>75</v>
      </c>
      <c r="D76" s="69">
        <v>1</v>
      </c>
      <c r="I76" s="6" t="b">
        <f>OR(D76=2,D76=3)</f>
        <v>0</v>
      </c>
      <c r="M76" s="6">
        <v>5</v>
      </c>
      <c r="N76" s="6" t="b">
        <f>AND('Simulazione 8.4'!$C$4&gt;1000)</f>
        <v>0</v>
      </c>
      <c r="O76" s="6">
        <v>2600</v>
      </c>
      <c r="P76" s="6">
        <f>IF(N76=TRUE,O76,0)</f>
        <v>0</v>
      </c>
      <c r="Q76" s="115"/>
    </row>
    <row r="77" spans="1:28">
      <c r="A77" s="6">
        <f t="shared" si="37"/>
        <v>76</v>
      </c>
      <c r="I77" s="57" t="s">
        <v>125</v>
      </c>
      <c r="O77" s="6">
        <f>'Simulazione 8.4'!C4-'Simulazione 8.4'!C5</f>
        <v>0</v>
      </c>
      <c r="P77" s="57">
        <f>SUM(P72:P76)</f>
        <v>200</v>
      </c>
    </row>
    <row r="78" spans="1:28">
      <c r="A78" s="6">
        <f t="shared" si="37"/>
        <v>77</v>
      </c>
      <c r="D78" s="6" t="s">
        <v>85</v>
      </c>
      <c r="F78" s="6">
        <f>'Simulazione 8.4'!C4*'Simulazione 8.4'!C43</f>
        <v>6300</v>
      </c>
      <c r="I78" s="6" t="b">
        <f>OR(D76=4,D76=5)</f>
        <v>0</v>
      </c>
    </row>
    <row r="79" spans="1:28">
      <c r="A79" s="6">
        <f t="shared" si="37"/>
        <v>78</v>
      </c>
      <c r="D79" s="6" t="s">
        <v>84</v>
      </c>
      <c r="F79" s="6">
        <f>IF(D76&gt;1,('Simulazione 8.4'!C43*'Simulazione 8.4'!C4)/100*'Simulazione 8.4'!$K$10,0)</f>
        <v>0</v>
      </c>
    </row>
    <row r="80" spans="1:28">
      <c r="A80" s="6">
        <f t="shared" si="37"/>
        <v>79</v>
      </c>
    </row>
    <row r="81" spans="1:28">
      <c r="A81" s="6">
        <f t="shared" si="37"/>
        <v>80</v>
      </c>
      <c r="D81" s="77">
        <f>$F$78</f>
        <v>6300</v>
      </c>
      <c r="E81" s="77">
        <f>$F$78</f>
        <v>6300</v>
      </c>
      <c r="F81" s="77">
        <f>$F$78</f>
        <v>6300</v>
      </c>
      <c r="G81" s="77">
        <f t="shared" ref="G81:AB81" si="40">$F$78</f>
        <v>6300</v>
      </c>
      <c r="H81" s="77">
        <f t="shared" si="40"/>
        <v>6300</v>
      </c>
      <c r="I81" s="77">
        <f t="shared" si="40"/>
        <v>6300</v>
      </c>
      <c r="J81" s="77">
        <f t="shared" si="40"/>
        <v>6300</v>
      </c>
      <c r="K81" s="77">
        <f t="shared" si="40"/>
        <v>6300</v>
      </c>
      <c r="L81" s="77">
        <f t="shared" si="40"/>
        <v>6300</v>
      </c>
      <c r="M81" s="77">
        <f t="shared" si="40"/>
        <v>6300</v>
      </c>
      <c r="N81" s="77">
        <f t="shared" si="40"/>
        <v>6300</v>
      </c>
      <c r="O81" s="77">
        <f t="shared" si="40"/>
        <v>6300</v>
      </c>
      <c r="P81" s="77">
        <f t="shared" si="40"/>
        <v>6300</v>
      </c>
      <c r="Q81" s="77">
        <f t="shared" si="40"/>
        <v>6300</v>
      </c>
      <c r="R81" s="77">
        <f t="shared" si="40"/>
        <v>6300</v>
      </c>
      <c r="S81" s="77">
        <f t="shared" si="40"/>
        <v>6300</v>
      </c>
      <c r="T81" s="78">
        <f t="shared" si="40"/>
        <v>6300</v>
      </c>
      <c r="U81" s="77">
        <f t="shared" si="40"/>
        <v>6300</v>
      </c>
      <c r="V81" s="77">
        <f t="shared" si="40"/>
        <v>6300</v>
      </c>
      <c r="W81" s="77">
        <f t="shared" si="40"/>
        <v>6300</v>
      </c>
      <c r="X81" s="77">
        <f t="shared" si="40"/>
        <v>6300</v>
      </c>
      <c r="Y81" s="77">
        <f t="shared" si="40"/>
        <v>6300</v>
      </c>
      <c r="Z81" s="77">
        <f t="shared" si="40"/>
        <v>6300</v>
      </c>
      <c r="AA81" s="77">
        <f t="shared" si="40"/>
        <v>6300</v>
      </c>
      <c r="AB81" s="77">
        <f t="shared" si="40"/>
        <v>6300</v>
      </c>
    </row>
    <row r="82" spans="1:28">
      <c r="A82" s="6">
        <f t="shared" si="37"/>
        <v>81</v>
      </c>
      <c r="C82" s="77"/>
      <c r="D82" s="77">
        <f>$F$78/100*'Simulazione 8.4'!$K$10/2</f>
        <v>283.5</v>
      </c>
      <c r="E82" s="77">
        <f>D82+$F$79</f>
        <v>283.5</v>
      </c>
      <c r="F82" s="77">
        <f t="shared" ref="F82:W82" si="41">E82+$F$79</f>
        <v>283.5</v>
      </c>
      <c r="G82" s="77">
        <f t="shared" si="41"/>
        <v>283.5</v>
      </c>
      <c r="H82" s="77">
        <f t="shared" si="41"/>
        <v>283.5</v>
      </c>
      <c r="I82" s="77">
        <f t="shared" si="41"/>
        <v>283.5</v>
      </c>
      <c r="J82" s="77">
        <f t="shared" si="41"/>
        <v>283.5</v>
      </c>
      <c r="K82" s="77">
        <f t="shared" si="41"/>
        <v>283.5</v>
      </c>
      <c r="L82" s="77">
        <f t="shared" si="41"/>
        <v>283.5</v>
      </c>
      <c r="M82" s="77">
        <f t="shared" si="41"/>
        <v>283.5</v>
      </c>
      <c r="N82" s="77">
        <f t="shared" si="41"/>
        <v>283.5</v>
      </c>
      <c r="O82" s="77">
        <f t="shared" si="41"/>
        <v>283.5</v>
      </c>
      <c r="P82" s="77">
        <f t="shared" si="41"/>
        <v>283.5</v>
      </c>
      <c r="Q82" s="77">
        <f t="shared" si="41"/>
        <v>283.5</v>
      </c>
      <c r="R82" s="77">
        <f t="shared" si="41"/>
        <v>283.5</v>
      </c>
      <c r="S82" s="77">
        <f t="shared" si="41"/>
        <v>283.5</v>
      </c>
      <c r="T82" s="78">
        <f t="shared" si="41"/>
        <v>283.5</v>
      </c>
      <c r="U82" s="77">
        <f t="shared" si="41"/>
        <v>283.5</v>
      </c>
      <c r="V82" s="77">
        <f t="shared" si="41"/>
        <v>283.5</v>
      </c>
      <c r="W82" s="77">
        <f t="shared" si="41"/>
        <v>283.5</v>
      </c>
      <c r="X82" s="77">
        <f t="shared" ref="X82" si="42">W82+$F$79</f>
        <v>283.5</v>
      </c>
      <c r="Y82" s="77">
        <f t="shared" ref="Y82" si="43">X82+$F$79</f>
        <v>283.5</v>
      </c>
      <c r="Z82" s="77">
        <f t="shared" ref="Z82" si="44">Y82+$F$79</f>
        <v>283.5</v>
      </c>
      <c r="AA82" s="77">
        <f t="shared" ref="AA82" si="45">Z82+$F$79</f>
        <v>283.5</v>
      </c>
      <c r="AB82" s="77">
        <f t="shared" ref="AB82" si="46">AA82+$F$79</f>
        <v>283.5</v>
      </c>
    </row>
    <row r="83" spans="1:28">
      <c r="A83" s="6">
        <f t="shared" si="37"/>
        <v>82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7"/>
      <c r="V83" s="77"/>
      <c r="W83" s="77"/>
      <c r="X83" s="77"/>
      <c r="Y83" s="77"/>
      <c r="Z83" s="77"/>
      <c r="AA83" s="77"/>
      <c r="AB83" s="77"/>
    </row>
    <row r="84" spans="1:28">
      <c r="A84" s="6">
        <f t="shared" si="37"/>
        <v>83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  <c r="R84" s="77"/>
      <c r="S84" s="77"/>
      <c r="T84" s="78"/>
      <c r="U84" s="77"/>
      <c r="V84" s="77"/>
      <c r="W84" s="77"/>
      <c r="X84" s="77"/>
      <c r="Y84" s="77"/>
      <c r="Z84" s="77"/>
      <c r="AA84" s="77"/>
      <c r="AB84" s="77"/>
    </row>
    <row r="85" spans="1:28">
      <c r="A85" s="6">
        <f t="shared" si="37"/>
        <v>84</v>
      </c>
      <c r="D85" s="77">
        <f>IF(D82&lt;D81,1,0)</f>
        <v>1</v>
      </c>
      <c r="E85" s="77">
        <f t="shared" ref="E85:W85" si="47">IF(E82&lt;E81,1,0)</f>
        <v>1</v>
      </c>
      <c r="F85" s="77">
        <f t="shared" si="47"/>
        <v>1</v>
      </c>
      <c r="G85" s="77">
        <f t="shared" si="47"/>
        <v>1</v>
      </c>
      <c r="H85" s="77">
        <f t="shared" si="47"/>
        <v>1</v>
      </c>
      <c r="I85" s="77">
        <f t="shared" si="47"/>
        <v>1</v>
      </c>
      <c r="J85" s="77">
        <f t="shared" si="47"/>
        <v>1</v>
      </c>
      <c r="K85" s="77">
        <f t="shared" si="47"/>
        <v>1</v>
      </c>
      <c r="L85" s="77">
        <f t="shared" si="47"/>
        <v>1</v>
      </c>
      <c r="M85" s="77">
        <f t="shared" si="47"/>
        <v>1</v>
      </c>
      <c r="N85" s="77">
        <f t="shared" si="47"/>
        <v>1</v>
      </c>
      <c r="O85" s="77">
        <f t="shared" si="47"/>
        <v>1</v>
      </c>
      <c r="P85" s="77">
        <f t="shared" si="47"/>
        <v>1</v>
      </c>
      <c r="Q85" s="77">
        <f t="shared" si="47"/>
        <v>1</v>
      </c>
      <c r="R85" s="77">
        <f t="shared" si="47"/>
        <v>1</v>
      </c>
      <c r="S85" s="77">
        <f t="shared" si="47"/>
        <v>1</v>
      </c>
      <c r="T85" s="78">
        <f t="shared" si="47"/>
        <v>1</v>
      </c>
      <c r="U85" s="77">
        <f t="shared" si="47"/>
        <v>1</v>
      </c>
      <c r="V85" s="77">
        <f t="shared" si="47"/>
        <v>1</v>
      </c>
      <c r="W85" s="77">
        <f t="shared" si="47"/>
        <v>1</v>
      </c>
      <c r="X85" s="77">
        <f t="shared" ref="X85:AB85" si="48">IF(X82&lt;X81,1,0)</f>
        <v>1</v>
      </c>
      <c r="Y85" s="77">
        <f t="shared" si="48"/>
        <v>1</v>
      </c>
      <c r="Z85" s="77">
        <f t="shared" si="48"/>
        <v>1</v>
      </c>
      <c r="AA85" s="77">
        <f t="shared" si="48"/>
        <v>1</v>
      </c>
      <c r="AB85" s="77">
        <f t="shared" si="48"/>
        <v>1</v>
      </c>
    </row>
    <row r="86" spans="1:28">
      <c r="A86" s="6">
        <f t="shared" si="37"/>
        <v>85</v>
      </c>
      <c r="D86" s="77">
        <f>IF(Calcoli!$D$76&gt;1,Calcoli!$F$79/2,0)</f>
        <v>0</v>
      </c>
      <c r="E86" s="77">
        <f>IF(Calcoli!$D$76&gt;1,Calcoli!$F$79,0)</f>
        <v>0</v>
      </c>
      <c r="F86" s="77">
        <f>IF(Calcoli!$D$76&gt;1,Calcoli!$F$79,0)</f>
        <v>0</v>
      </c>
      <c r="G86" s="77">
        <f>IF(Calcoli!$D$76&gt;1,Calcoli!$F$79,0)</f>
        <v>0</v>
      </c>
      <c r="H86" s="77">
        <f>IF(Calcoli!$D$76&gt;1,Calcoli!$F$79,0)</f>
        <v>0</v>
      </c>
      <c r="I86" s="77">
        <f>IF(Calcoli!$D$76&gt;1,Calcoli!$F$79,0)</f>
        <v>0</v>
      </c>
      <c r="J86" s="77">
        <f>IF(Calcoli!$D$76&gt;1,Calcoli!$F$79,0)</f>
        <v>0</v>
      </c>
      <c r="K86" s="77">
        <f>IF(Calcoli!$D$76&gt;1,Calcoli!$F$79,0)</f>
        <v>0</v>
      </c>
      <c r="L86" s="77">
        <f>IF(Calcoli!$D$76&gt;1,Calcoli!$F$79,0)</f>
        <v>0</v>
      </c>
      <c r="M86" s="77">
        <f>IF(Calcoli!$D$76&gt;1,Calcoli!$F$79,0)</f>
        <v>0</v>
      </c>
      <c r="N86" s="77">
        <f>IF(Calcoli!$D$76&gt;1,Calcoli!$F$79,0)</f>
        <v>0</v>
      </c>
      <c r="O86" s="77">
        <f>IF(Calcoli!$D$76&gt;1,Calcoli!$F$79,0)</f>
        <v>0</v>
      </c>
      <c r="P86" s="77">
        <f>IF(Calcoli!$D$76&gt;1,Calcoli!$F$79,0)</f>
        <v>0</v>
      </c>
      <c r="Q86" s="77">
        <f>IF(Calcoli!$D$76&gt;1,Calcoli!$F$79,0)</f>
        <v>0</v>
      </c>
      <c r="R86" s="77">
        <f>IF(Calcoli!$D$76&gt;1,Calcoli!$F$79,0)</f>
        <v>0</v>
      </c>
      <c r="S86" s="77">
        <f>IF(Calcoli!$D$76&gt;1,Calcoli!$F$79,0)</f>
        <v>0</v>
      </c>
      <c r="T86" s="78">
        <f>IF(Calcoli!$D$76&gt;1,Calcoli!$F$79,0)</f>
        <v>0</v>
      </c>
      <c r="U86" s="77">
        <f>IF(Calcoli!$D$76&gt;1,Calcoli!$F$79,0)</f>
        <v>0</v>
      </c>
      <c r="V86" s="77">
        <f>IF(Calcoli!$D$76&gt;1,Calcoli!$F$79,0)</f>
        <v>0</v>
      </c>
      <c r="W86" s="77">
        <f>IF(Calcoli!$D$76&gt;1,Calcoli!$F$79,0)</f>
        <v>0</v>
      </c>
      <c r="X86" s="77">
        <f>IF(Calcoli!$D$76&gt;1,Calcoli!$F$79,0)</f>
        <v>0</v>
      </c>
      <c r="Y86" s="77">
        <f>IF(Calcoli!$D$76&gt;1,Calcoli!$F$79,0)</f>
        <v>0</v>
      </c>
      <c r="Z86" s="77">
        <f>IF(Calcoli!$D$76&gt;1,Calcoli!$F$79,0)</f>
        <v>0</v>
      </c>
      <c r="AA86" s="77">
        <f>IF(Calcoli!$D$76&gt;1,Calcoli!$F$79,0)</f>
        <v>0</v>
      </c>
      <c r="AB86" s="77">
        <f>IF(Calcoli!$D$76&gt;1,Calcoli!$F$79,0)</f>
        <v>0</v>
      </c>
    </row>
    <row r="87" spans="1:28" ht="10.5" customHeight="1">
      <c r="A87" s="6">
        <f t="shared" si="37"/>
        <v>86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8"/>
      <c r="R87" s="77"/>
      <c r="S87" s="77"/>
      <c r="T87" s="78"/>
      <c r="U87" s="77"/>
      <c r="V87" s="77"/>
      <c r="W87" s="77"/>
      <c r="X87" s="77"/>
      <c r="Y87" s="77"/>
      <c r="Z87" s="77"/>
      <c r="AA87" s="77"/>
      <c r="AB87" s="77"/>
    </row>
    <row r="88" spans="1:28">
      <c r="A88" s="6">
        <f t="shared" si="37"/>
        <v>87</v>
      </c>
      <c r="D88" s="77">
        <f>IF(D85=1,D86,0)</f>
        <v>0</v>
      </c>
      <c r="E88" s="77">
        <f>IF(E85=1,E86,$F$78-(D88))</f>
        <v>0</v>
      </c>
      <c r="F88" s="77">
        <f>IF(F85=1,F86,$F$78-(E88+D88))</f>
        <v>0</v>
      </c>
      <c r="G88" s="77">
        <f>IF(G85=1,G86,$F$78-(F88+E88+D88))</f>
        <v>0</v>
      </c>
      <c r="H88" s="77">
        <f>IF(H85=1,H86,$F$78-(G88+F88+E88+D88))</f>
        <v>0</v>
      </c>
      <c r="I88" s="77">
        <f>IF(I85=1,I86,$F$78-(H88+G88+F88+E88+D88))</f>
        <v>0</v>
      </c>
      <c r="J88" s="77">
        <f>IF(J85=1,J86,$F$78-(I88+H88+G88+F88+E88+D88))</f>
        <v>0</v>
      </c>
      <c r="K88" s="77">
        <f>IF(K85=1,K86,$F$78-(J88+I88+H88+G88+F88+E88+D88))</f>
        <v>0</v>
      </c>
      <c r="L88" s="77">
        <f>IF(L85=1,L86,$F$78-(K88+J88+I88+H88+G88+F88+E88+D88))</f>
        <v>0</v>
      </c>
      <c r="M88" s="77">
        <f>IF(M85=1,M86,$F$78-(L88+K88+J88+I88+H88+G88+F88+E88+D88))</f>
        <v>0</v>
      </c>
      <c r="N88" s="77">
        <f>IF(N85=1,N86,$F$78-(M88+L88+K88+J88+I88+H88+G88+F88+E88+D88))</f>
        <v>0</v>
      </c>
      <c r="O88" s="77">
        <f>IF(O85=1,O86,$F$78-(N88+M88+L88+K88+J88+I88+H88+G88+F88+E88+D88))</f>
        <v>0</v>
      </c>
      <c r="P88" s="77">
        <f>IF(P85=1,P86,$F$78-(O88+N88+M88+L88+K88+J88+I88+H88+G88+F88+E88+D88))</f>
        <v>0</v>
      </c>
      <c r="Q88" s="77">
        <f>IF(Q85=1,Q86,$F$78-(P88+O88+N88+M88+L88+K88+J88+I88+H88+G88+F88+E88+D88))</f>
        <v>0</v>
      </c>
      <c r="R88" s="77">
        <f>IF(R85=1,R86,$F$78-(Q88+P88+O88+N88+M88+L88+K88+J88+I88+H88+G88+F88+E88+D88))</f>
        <v>0</v>
      </c>
      <c r="S88" s="77">
        <f>IF(S85=1,S86,$F$78-(R88+Q88+P88+O88+N88+M88+L88+K88+J88+I88+H88+G88+F88+E88+D88))</f>
        <v>0</v>
      </c>
      <c r="T88" s="78">
        <f>IF(T85=1,T86,$F$78-(S88+R88+Q88+P88+O88+N88+M88+L88+K88+J88+I88+H88+G88+F88+E88+D88))</f>
        <v>0</v>
      </c>
      <c r="U88" s="77">
        <f>IF(U85=1,U86,$F$78-(T88+S88+R88+Q88+P88+O88+N88+M88+L88+K88+J88+I88+H88+G88+F88+E88+D88))</f>
        <v>0</v>
      </c>
      <c r="V88" s="77">
        <f>IF(V85=1,V86,$F$78-(U88+T88+S88+R88+Q88+P88+O88+N88+M88+L88+K88+J88+I88+H88+G88+F88+E88+D88))</f>
        <v>0</v>
      </c>
      <c r="W88" s="77">
        <f>IF(W85=1,W86,$F$78-(V88+U88+T88+S88+R88+Q88+P88+O88+N88+M88+L88+K88+J88+I88+H88+G88+F88+E88+D88))</f>
        <v>0</v>
      </c>
      <c r="X88" s="77">
        <f>IF(X85=1,X86,$F$78-(W88+V88+U88+T88+S88+R88+Q88+P88+O88+N88+M88+L88+K88+J88+I88+H88+G88+F88+E88+D88))</f>
        <v>0</v>
      </c>
      <c r="Y88" s="77">
        <f>IF(Y85=1,Y86,$F$78-(X88+W88+V88+U88+T88+S88+R88+Q88+P88+O88+N88+M88+L88+K88+J88+I88+H88+G88+F88+E88+D88))</f>
        <v>0</v>
      </c>
      <c r="Z88" s="77">
        <f>IF(Z85=1,Z86,$F$78-(Y88+X88+W88+V88+U88+T88+S88+R88+Q88+P88+O88+N88+M88+L88+K88+J88+I88+H88+G88+F88+E88+D88))</f>
        <v>0</v>
      </c>
      <c r="AA88" s="77">
        <f>IF(AA85=1,AA86,$F$78-(Z88+Y88+X88+W88+V88+U88+T88+S88+R88+Q88+P88+O88+N88+M88+L88+K88+J88+I88+H88+G88+F88+E88+D88))</f>
        <v>0</v>
      </c>
      <c r="AB88" s="77">
        <f>IF(AB85=1,AB86,$F$78-(AA88+Z88+Y88+X88+W88+V88+U88+T88+S88+R88+Q88+P88+O88+N88+M88+L88+K88+J88+I88+H88+G88+F88+E88+D88))</f>
        <v>0</v>
      </c>
    </row>
    <row r="89" spans="1:28">
      <c r="A89" s="6">
        <f t="shared" si="37"/>
        <v>88</v>
      </c>
    </row>
    <row r="90" spans="1:28">
      <c r="A90" s="6">
        <f t="shared" si="37"/>
        <v>89</v>
      </c>
      <c r="N90" s="77"/>
      <c r="O90" s="77"/>
    </row>
    <row r="91" spans="1:28">
      <c r="A91" s="6">
        <f t="shared" si="37"/>
        <v>90</v>
      </c>
      <c r="F91" s="77"/>
    </row>
    <row r="92" spans="1:28">
      <c r="A92" s="6">
        <f t="shared" si="37"/>
        <v>91</v>
      </c>
      <c r="D92" s="77">
        <f>'Simulazione 8.4'!E86</f>
        <v>0</v>
      </c>
      <c r="E92" s="77">
        <f>'Simulazione 8.4'!F86</f>
        <v>0</v>
      </c>
      <c r="F92" s="77">
        <f>'Simulazione 8.4'!G86</f>
        <v>0</v>
      </c>
      <c r="G92" s="77">
        <f>'Simulazione 8.4'!H86</f>
        <v>0</v>
      </c>
      <c r="H92" s="77">
        <f>'Simulazione 8.4'!I86</f>
        <v>0</v>
      </c>
      <c r="I92" s="77">
        <f>'Simulazione 8.4'!J86</f>
        <v>0</v>
      </c>
      <c r="J92" s="77">
        <f>'Simulazione 8.4'!K86</f>
        <v>0</v>
      </c>
      <c r="K92" s="77">
        <f>'Simulazione 8.4'!L86</f>
        <v>0</v>
      </c>
      <c r="L92" s="77">
        <f>'Simulazione 8.4'!M86</f>
        <v>0</v>
      </c>
      <c r="M92" s="77">
        <f>'Simulazione 8.4'!N86</f>
        <v>0</v>
      </c>
      <c r="N92" s="77">
        <f>'Simulazione 8.4'!O86</f>
        <v>0</v>
      </c>
      <c r="O92" s="77">
        <f>'Simulazione 8.4'!P86</f>
        <v>0</v>
      </c>
      <c r="P92" s="77">
        <f>'Simulazione 8.4'!Q86</f>
        <v>0</v>
      </c>
      <c r="Q92" s="77">
        <f>'Simulazione 8.4'!R86</f>
        <v>0</v>
      </c>
      <c r="R92" s="77">
        <f>'Simulazione 8.4'!S86</f>
        <v>0</v>
      </c>
      <c r="S92" s="77">
        <f>'Simulazione 8.4'!T86</f>
        <v>0</v>
      </c>
      <c r="T92" s="78">
        <f>'Simulazione 8.4'!U86</f>
        <v>0</v>
      </c>
      <c r="U92" s="77">
        <f>'Simulazione 8.4'!V86</f>
        <v>0</v>
      </c>
      <c r="V92" s="77">
        <f>'Simulazione 8.4'!W86</f>
        <v>0</v>
      </c>
      <c r="W92" s="77">
        <f>'Simulazione 8.4'!X86</f>
        <v>0</v>
      </c>
      <c r="X92" s="77">
        <f>'Simulazione 8.4'!Y86</f>
        <v>0</v>
      </c>
      <c r="Y92" s="77">
        <f>'Simulazione 8.4'!Z86</f>
        <v>0</v>
      </c>
      <c r="Z92" s="77">
        <f>'Simulazione 8.4'!AA86</f>
        <v>0</v>
      </c>
      <c r="AA92" s="77">
        <f>'Simulazione 8.4'!AB86</f>
        <v>0</v>
      </c>
      <c r="AB92" s="77">
        <f>'Simulazione 8.4'!AC86</f>
        <v>0</v>
      </c>
    </row>
    <row r="93" spans="1:28">
      <c r="A93" s="6">
        <f t="shared" si="37"/>
        <v>92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7"/>
      <c r="V93" s="77"/>
      <c r="W93" s="77"/>
      <c r="X93" s="77"/>
      <c r="Y93" s="77"/>
      <c r="Z93" s="77"/>
      <c r="AA93" s="77"/>
      <c r="AB93" s="77"/>
    </row>
    <row r="94" spans="1:28">
      <c r="A94" s="6">
        <f t="shared" si="37"/>
        <v>93</v>
      </c>
      <c r="C94" s="6" t="s">
        <v>104</v>
      </c>
      <c r="D94" s="78" t="b">
        <f>AND(D92&lt;15000)</f>
        <v>1</v>
      </c>
      <c r="E94" s="78" t="b">
        <f t="shared" ref="E94:W94" si="49">AND(E92&lt;15000)</f>
        <v>1</v>
      </c>
      <c r="F94" s="78" t="b">
        <f t="shared" si="49"/>
        <v>1</v>
      </c>
      <c r="G94" s="78" t="b">
        <f t="shared" si="49"/>
        <v>1</v>
      </c>
      <c r="H94" s="78" t="b">
        <f t="shared" si="49"/>
        <v>1</v>
      </c>
      <c r="I94" s="78" t="b">
        <f t="shared" si="49"/>
        <v>1</v>
      </c>
      <c r="J94" s="78" t="b">
        <f t="shared" si="49"/>
        <v>1</v>
      </c>
      <c r="K94" s="78" t="b">
        <f t="shared" si="49"/>
        <v>1</v>
      </c>
      <c r="L94" s="78" t="b">
        <f t="shared" si="49"/>
        <v>1</v>
      </c>
      <c r="M94" s="78" t="b">
        <f t="shared" si="49"/>
        <v>1</v>
      </c>
      <c r="N94" s="78" t="b">
        <f t="shared" si="49"/>
        <v>1</v>
      </c>
      <c r="O94" s="78" t="b">
        <f t="shared" si="49"/>
        <v>1</v>
      </c>
      <c r="P94" s="78" t="b">
        <f t="shared" si="49"/>
        <v>1</v>
      </c>
      <c r="Q94" s="78" t="b">
        <f t="shared" si="49"/>
        <v>1</v>
      </c>
      <c r="R94" s="78" t="b">
        <f t="shared" si="49"/>
        <v>1</v>
      </c>
      <c r="S94" s="78" t="b">
        <f t="shared" si="49"/>
        <v>1</v>
      </c>
      <c r="T94" s="78" t="b">
        <f t="shared" si="49"/>
        <v>1</v>
      </c>
      <c r="U94" s="78" t="b">
        <f t="shared" si="49"/>
        <v>1</v>
      </c>
      <c r="V94" s="78" t="b">
        <f t="shared" si="49"/>
        <v>1</v>
      </c>
      <c r="W94" s="78" t="b">
        <f t="shared" si="49"/>
        <v>1</v>
      </c>
      <c r="X94" s="78" t="b">
        <f t="shared" ref="X94:AB94" si="50">AND(X92&lt;15000)</f>
        <v>1</v>
      </c>
      <c r="Y94" s="78" t="b">
        <f t="shared" si="50"/>
        <v>1</v>
      </c>
      <c r="Z94" s="78" t="b">
        <f t="shared" si="50"/>
        <v>1</v>
      </c>
      <c r="AA94" s="78" t="b">
        <f t="shared" si="50"/>
        <v>1</v>
      </c>
      <c r="AB94" s="78" t="b">
        <f t="shared" si="50"/>
        <v>1</v>
      </c>
    </row>
    <row r="95" spans="1:28">
      <c r="A95" s="6">
        <f t="shared" si="37"/>
        <v>94</v>
      </c>
      <c r="C95" s="77"/>
      <c r="D95" s="78">
        <f>IF(D94=TRUE,D92/100*'Simulazione 8.4'!$L$13,0)</f>
        <v>0</v>
      </c>
      <c r="E95" s="78">
        <f>IF(E94=TRUE,E92/100*'Simulazione 8.4'!$L$13,0)</f>
        <v>0</v>
      </c>
      <c r="F95" s="78">
        <f>IF(F94=TRUE,F92/100*'Simulazione 8.4'!$L$13,0)</f>
        <v>0</v>
      </c>
      <c r="G95" s="78">
        <f>IF(G94=TRUE,G92/100*'Simulazione 8.4'!$L$13,0)</f>
        <v>0</v>
      </c>
      <c r="H95" s="78">
        <f>IF(H94=TRUE,H92/100*'Simulazione 8.4'!$L$13,0)</f>
        <v>0</v>
      </c>
      <c r="I95" s="78">
        <f>IF(I94=TRUE,I92/100*'Simulazione 8.4'!$L$13,0)</f>
        <v>0</v>
      </c>
      <c r="J95" s="78">
        <f>IF(J94=TRUE,J92/100*'Simulazione 8.4'!$L$13,0)</f>
        <v>0</v>
      </c>
      <c r="K95" s="78">
        <f>IF(K94=TRUE,K92/100*'Simulazione 8.4'!$L$13,0)</f>
        <v>0</v>
      </c>
      <c r="L95" s="78">
        <f>IF(L94=TRUE,L92/100*'Simulazione 8.4'!$L$13,0)</f>
        <v>0</v>
      </c>
      <c r="M95" s="78">
        <f>IF(M94=TRUE,M92/100*'Simulazione 8.4'!$L$13,0)</f>
        <v>0</v>
      </c>
      <c r="N95" s="78">
        <f>IF(N94=TRUE,N92/100*'Simulazione 8.4'!$L$13,0)</f>
        <v>0</v>
      </c>
      <c r="O95" s="78">
        <f>IF(O94=TRUE,O92/100*'Simulazione 8.4'!$L$13,0)</f>
        <v>0</v>
      </c>
      <c r="P95" s="78">
        <f>IF(P94=TRUE,P92/100*'Simulazione 8.4'!$L$13,0)</f>
        <v>0</v>
      </c>
      <c r="Q95" s="78">
        <f>IF(Q94=TRUE,Q92/100*'Simulazione 8.4'!$L$13,0)</f>
        <v>0</v>
      </c>
      <c r="R95" s="78">
        <f>IF(R94=TRUE,R92/100*'Simulazione 8.4'!$L$13,0)</f>
        <v>0</v>
      </c>
      <c r="S95" s="78">
        <f>IF(S94=TRUE,S92/100*'Simulazione 8.4'!$L$13,0)</f>
        <v>0</v>
      </c>
      <c r="T95" s="78">
        <f>IF(T94=TRUE,T92/100*'Simulazione 8.4'!$L$13,0)</f>
        <v>0</v>
      </c>
      <c r="U95" s="78">
        <f>IF(U94=TRUE,U92/100*'Simulazione 8.4'!$L$13,0)</f>
        <v>0</v>
      </c>
      <c r="V95" s="78">
        <f>IF(V94=TRUE,V92/100*'Simulazione 8.4'!$L$13,0)</f>
        <v>0</v>
      </c>
      <c r="W95" s="78">
        <f>IF(W94=TRUE,W92/100*'Simulazione 8.4'!$L$13,0)</f>
        <v>0</v>
      </c>
      <c r="X95" s="78">
        <f>IF(X94=TRUE,X92/100*'Simulazione 8.4'!$L$13,0)</f>
        <v>0</v>
      </c>
      <c r="Y95" s="78">
        <f>IF(Y94=TRUE,Y92/100*'Simulazione 8.4'!$L$13,0)</f>
        <v>0</v>
      </c>
      <c r="Z95" s="78">
        <f>IF(Z94=TRUE,Z92/100*'Simulazione 8.4'!$L$13,0)</f>
        <v>0</v>
      </c>
      <c r="AA95" s="78">
        <f>IF(AA94=TRUE,AA92/100*'Simulazione 8.4'!$L$13,0)</f>
        <v>0</v>
      </c>
      <c r="AB95" s="78">
        <f>IF(AB94=TRUE,AB92/100*'Simulazione 8.4'!$L$13,0)</f>
        <v>0</v>
      </c>
    </row>
    <row r="96" spans="1:28">
      <c r="A96" s="6">
        <f t="shared" si="37"/>
        <v>95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77"/>
      <c r="Z96" s="77"/>
      <c r="AA96" s="77"/>
      <c r="AB96" s="77"/>
    </row>
    <row r="97" spans="1:28">
      <c r="A97" s="6">
        <f t="shared" si="37"/>
        <v>96</v>
      </c>
      <c r="C97" s="77" t="s">
        <v>103</v>
      </c>
      <c r="D97" s="78" t="b">
        <f>AND(D92&lt;28001,D92&gt;15000)</f>
        <v>0</v>
      </c>
      <c r="E97" s="78" t="b">
        <f t="shared" ref="E97:W97" si="51">AND(E92&lt;28001,E92&gt;15000)</f>
        <v>0</v>
      </c>
      <c r="F97" s="78" t="b">
        <f t="shared" si="51"/>
        <v>0</v>
      </c>
      <c r="G97" s="78" t="b">
        <f t="shared" si="51"/>
        <v>0</v>
      </c>
      <c r="H97" s="78" t="b">
        <f t="shared" si="51"/>
        <v>0</v>
      </c>
      <c r="I97" s="78" t="b">
        <f t="shared" si="51"/>
        <v>0</v>
      </c>
      <c r="J97" s="78" t="b">
        <f t="shared" si="51"/>
        <v>0</v>
      </c>
      <c r="K97" s="78" t="b">
        <f t="shared" si="51"/>
        <v>0</v>
      </c>
      <c r="L97" s="78" t="b">
        <f t="shared" si="51"/>
        <v>0</v>
      </c>
      <c r="M97" s="78" t="b">
        <f t="shared" si="51"/>
        <v>0</v>
      </c>
      <c r="N97" s="78" t="b">
        <f t="shared" si="51"/>
        <v>0</v>
      </c>
      <c r="O97" s="78" t="b">
        <f t="shared" si="51"/>
        <v>0</v>
      </c>
      <c r="P97" s="78" t="b">
        <f t="shared" si="51"/>
        <v>0</v>
      </c>
      <c r="Q97" s="78" t="b">
        <f t="shared" si="51"/>
        <v>0</v>
      </c>
      <c r="R97" s="78" t="b">
        <f t="shared" si="51"/>
        <v>0</v>
      </c>
      <c r="S97" s="78" t="b">
        <f t="shared" si="51"/>
        <v>0</v>
      </c>
      <c r="T97" s="78" t="b">
        <f t="shared" si="51"/>
        <v>0</v>
      </c>
      <c r="U97" s="78" t="b">
        <f t="shared" si="51"/>
        <v>0</v>
      </c>
      <c r="V97" s="78" t="b">
        <f t="shared" si="51"/>
        <v>0</v>
      </c>
      <c r="W97" s="78" t="b">
        <f t="shared" si="51"/>
        <v>0</v>
      </c>
      <c r="X97" s="78" t="b">
        <f t="shared" ref="X97:AB97" si="52">AND(X92&lt;28001,X92&gt;15000)</f>
        <v>0</v>
      </c>
      <c r="Y97" s="78" t="b">
        <f t="shared" si="52"/>
        <v>0</v>
      </c>
      <c r="Z97" s="78" t="b">
        <f t="shared" si="52"/>
        <v>0</v>
      </c>
      <c r="AA97" s="78" t="b">
        <f t="shared" si="52"/>
        <v>0</v>
      </c>
      <c r="AB97" s="78" t="b">
        <f t="shared" si="52"/>
        <v>0</v>
      </c>
    </row>
    <row r="98" spans="1:28">
      <c r="A98" s="6">
        <f t="shared" si="37"/>
        <v>97</v>
      </c>
      <c r="C98" s="77"/>
      <c r="D98" s="78">
        <f>IF(D97=TRUE,3450+((D92-15000)/100*'Simulazione 8.4'!$L$14),0)</f>
        <v>0</v>
      </c>
      <c r="E98" s="78">
        <f>IF(E97=TRUE,3450+((E92-15000)/100*'Simulazione 8.4'!$L$14),0)</f>
        <v>0</v>
      </c>
      <c r="F98" s="78">
        <f>IF(F97=TRUE,3450+((F92-15000)/100*'Simulazione 8.4'!$L$14),0)</f>
        <v>0</v>
      </c>
      <c r="G98" s="78">
        <f>IF(G97=TRUE,3450+((G92-15000)/100*'Simulazione 8.4'!$L$14),0)</f>
        <v>0</v>
      </c>
      <c r="H98" s="78">
        <f>IF(H97=TRUE,3450+((H92-15000)/100*'Simulazione 8.4'!$L$14),0)</f>
        <v>0</v>
      </c>
      <c r="I98" s="78">
        <f>IF(I97=TRUE,3450+((I92-15000)/100*'Simulazione 8.4'!$L$14),0)</f>
        <v>0</v>
      </c>
      <c r="J98" s="78">
        <f>IF(J97=TRUE,3450+((J92-15000)/100*'Simulazione 8.4'!$L$14),0)</f>
        <v>0</v>
      </c>
      <c r="K98" s="78">
        <f>IF(K97=TRUE,3450+((K92-15000)/100*'Simulazione 8.4'!$L$14),0)</f>
        <v>0</v>
      </c>
      <c r="L98" s="78">
        <f>IF(L97=TRUE,3450+((L92-15000)/100*'Simulazione 8.4'!$L$14),0)</f>
        <v>0</v>
      </c>
      <c r="M98" s="78">
        <f>IF(M97=TRUE,3450+((M92-15000)/100*'Simulazione 8.4'!$L$14),0)</f>
        <v>0</v>
      </c>
      <c r="N98" s="78">
        <f>IF(N97=TRUE,3450+((N92-15000)/100*'Simulazione 8.4'!$L$14),0)</f>
        <v>0</v>
      </c>
      <c r="O98" s="78">
        <f>IF(O97=TRUE,3450+((O92-15000)/100*'Simulazione 8.4'!$L$14),0)</f>
        <v>0</v>
      </c>
      <c r="P98" s="78">
        <f>IF(P97=TRUE,3450+((P92-15000)/100*'Simulazione 8.4'!$L$14),0)</f>
        <v>0</v>
      </c>
      <c r="Q98" s="78">
        <f>IF(Q97=TRUE,3450+((Q92-15000)/100*'Simulazione 8.4'!$L$14),0)</f>
        <v>0</v>
      </c>
      <c r="R98" s="78">
        <f>IF(R97=TRUE,3450+((R92-15000)/100*'Simulazione 8.4'!$L$14),0)</f>
        <v>0</v>
      </c>
      <c r="S98" s="78">
        <f>IF(S97=TRUE,3450+((S92-15000)/100*'Simulazione 8.4'!$L$14),0)</f>
        <v>0</v>
      </c>
      <c r="T98" s="78">
        <f>IF(T97=TRUE,3450+((T92-15000)/100*'Simulazione 8.4'!$L$14),0)</f>
        <v>0</v>
      </c>
      <c r="U98" s="78">
        <f>IF(U97=TRUE,3450+((U92-15000)/100*'Simulazione 8.4'!$L$14),0)</f>
        <v>0</v>
      </c>
      <c r="V98" s="78">
        <f>IF(V97=TRUE,3450+((V92-15000)/100*'Simulazione 8.4'!$L$14),0)</f>
        <v>0</v>
      </c>
      <c r="W98" s="78">
        <f>IF(W97=TRUE,3450+((W92-15000)/100*'Simulazione 8.4'!$L$14),0)</f>
        <v>0</v>
      </c>
      <c r="X98" s="78">
        <f>IF(X97=TRUE,3450+((X92-15000)/100*'Simulazione 8.4'!$L$14),0)</f>
        <v>0</v>
      </c>
      <c r="Y98" s="78">
        <f>IF(Y97=TRUE,3450+((Y92-15000)/100*'Simulazione 8.4'!$L$14),0)</f>
        <v>0</v>
      </c>
      <c r="Z98" s="78">
        <f>IF(Z97=TRUE,3450+((Z92-15000)/100*'Simulazione 8.4'!$L$14),0)</f>
        <v>0</v>
      </c>
      <c r="AA98" s="78">
        <f>IF(AA97=TRUE,3450+((AA92-15000)/100*'Simulazione 8.4'!$L$14),0)</f>
        <v>0</v>
      </c>
      <c r="AB98" s="78">
        <f>IF(AB97=TRUE,3450+((AB92-15000)/100*'Simulazione 8.4'!$L$14),0)</f>
        <v>0</v>
      </c>
    </row>
    <row r="99" spans="1:28">
      <c r="A99" s="6">
        <f t="shared" si="37"/>
        <v>98</v>
      </c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>
      <c r="A100" s="6">
        <f t="shared" si="37"/>
        <v>99</v>
      </c>
      <c r="C100" s="77" t="s">
        <v>105</v>
      </c>
      <c r="D100" s="78" t="b">
        <f>AND(D92&lt;55001,D92&gt;28000)</f>
        <v>0</v>
      </c>
      <c r="E100" s="78" t="b">
        <f t="shared" ref="E100:W100" si="53">AND(E92&lt;55001,E92&gt;28000)</f>
        <v>0</v>
      </c>
      <c r="F100" s="78" t="b">
        <f t="shared" si="53"/>
        <v>0</v>
      </c>
      <c r="G100" s="78" t="b">
        <f t="shared" si="53"/>
        <v>0</v>
      </c>
      <c r="H100" s="78" t="b">
        <f t="shared" si="53"/>
        <v>0</v>
      </c>
      <c r="I100" s="78" t="b">
        <f t="shared" si="53"/>
        <v>0</v>
      </c>
      <c r="J100" s="78" t="b">
        <f t="shared" si="53"/>
        <v>0</v>
      </c>
      <c r="K100" s="78" t="b">
        <f t="shared" si="53"/>
        <v>0</v>
      </c>
      <c r="L100" s="78" t="b">
        <f t="shared" si="53"/>
        <v>0</v>
      </c>
      <c r="M100" s="78" t="b">
        <f t="shared" si="53"/>
        <v>0</v>
      </c>
      <c r="N100" s="78" t="b">
        <f t="shared" si="53"/>
        <v>0</v>
      </c>
      <c r="O100" s="78" t="b">
        <f t="shared" si="53"/>
        <v>0</v>
      </c>
      <c r="P100" s="78" t="b">
        <f t="shared" si="53"/>
        <v>0</v>
      </c>
      <c r="Q100" s="78" t="b">
        <f t="shared" si="53"/>
        <v>0</v>
      </c>
      <c r="R100" s="78" t="b">
        <f t="shared" si="53"/>
        <v>0</v>
      </c>
      <c r="S100" s="78" t="b">
        <f t="shared" si="53"/>
        <v>0</v>
      </c>
      <c r="T100" s="78" t="b">
        <f t="shared" si="53"/>
        <v>0</v>
      </c>
      <c r="U100" s="78" t="b">
        <f t="shared" si="53"/>
        <v>0</v>
      </c>
      <c r="V100" s="78" t="b">
        <f t="shared" si="53"/>
        <v>0</v>
      </c>
      <c r="W100" s="78" t="b">
        <f t="shared" si="53"/>
        <v>0</v>
      </c>
      <c r="X100" s="78" t="b">
        <f t="shared" ref="X100:AB100" si="54">AND(X92&lt;55001,X92&gt;28000)</f>
        <v>0</v>
      </c>
      <c r="Y100" s="78" t="b">
        <f t="shared" si="54"/>
        <v>0</v>
      </c>
      <c r="Z100" s="78" t="b">
        <f t="shared" si="54"/>
        <v>0</v>
      </c>
      <c r="AA100" s="78" t="b">
        <f t="shared" si="54"/>
        <v>0</v>
      </c>
      <c r="AB100" s="78" t="b">
        <f t="shared" si="54"/>
        <v>0</v>
      </c>
    </row>
    <row r="101" spans="1:28">
      <c r="A101" s="6">
        <f t="shared" si="37"/>
        <v>100</v>
      </c>
      <c r="C101" s="77"/>
      <c r="D101" s="78">
        <f>IF(D100=TRUE,6960+((D92-28000)/100*'Simulazione 8.4'!$L$15),0)</f>
        <v>0</v>
      </c>
      <c r="E101" s="78">
        <f>IF(E100=TRUE,6960+((E92-28000)/100*'Simulazione 8.4'!$L$15),0)</f>
        <v>0</v>
      </c>
      <c r="F101" s="78">
        <f>IF(F100=TRUE,6960+((F92-28000)/100*'Simulazione 8.4'!$L$15),0)</f>
        <v>0</v>
      </c>
      <c r="G101" s="78">
        <f>IF(G100=TRUE,6960+((G92-28000)/100*'Simulazione 8.4'!$L$15),0)</f>
        <v>0</v>
      </c>
      <c r="H101" s="78">
        <f>IF(H100=TRUE,6960+((H92-28000)/100*'Simulazione 8.4'!$L$15),0)</f>
        <v>0</v>
      </c>
      <c r="I101" s="78">
        <f>IF(I100=TRUE,6960+((I92-28000)/100*'Simulazione 8.4'!$L$15),0)</f>
        <v>0</v>
      </c>
      <c r="J101" s="78">
        <f>IF(J100=TRUE,6960+((J92-28000)/100*'Simulazione 8.4'!$L$15),0)</f>
        <v>0</v>
      </c>
      <c r="K101" s="78">
        <f>IF(K100=TRUE,6960+((K92-28000)/100*'Simulazione 8.4'!$L$15),0)</f>
        <v>0</v>
      </c>
      <c r="L101" s="78">
        <f>IF(L100=TRUE,6960+((L92-28000)/100*'Simulazione 8.4'!$L$15),0)</f>
        <v>0</v>
      </c>
      <c r="M101" s="78">
        <f>IF(M100=TRUE,6960+((M92-28000)/100*'Simulazione 8.4'!$L$15),0)</f>
        <v>0</v>
      </c>
      <c r="N101" s="78">
        <f>IF(N100=TRUE,6960+((N92-28000)/100*'Simulazione 8.4'!$L$15),0)</f>
        <v>0</v>
      </c>
      <c r="O101" s="78">
        <f>IF(O100=TRUE,6960+((O92-28000)/100*'Simulazione 8.4'!$L$15),0)</f>
        <v>0</v>
      </c>
      <c r="P101" s="78">
        <f>IF(P100=TRUE,6960+((P92-28000)/100*'Simulazione 8.4'!$L$15),0)</f>
        <v>0</v>
      </c>
      <c r="Q101" s="78">
        <f>IF(Q100=TRUE,6960+((Q92-28000)/100*'Simulazione 8.4'!$L$15),0)</f>
        <v>0</v>
      </c>
      <c r="R101" s="78">
        <f>IF(R100=TRUE,6960+((R92-28000)/100*'Simulazione 8.4'!$L$15),0)</f>
        <v>0</v>
      </c>
      <c r="S101" s="78">
        <f>IF(S100=TRUE,6960+((S92-28000)/100*'Simulazione 8.4'!$L$15),0)</f>
        <v>0</v>
      </c>
      <c r="T101" s="78">
        <f>IF(T100=TRUE,6960+((T92-28000)/100*'Simulazione 8.4'!$L$15),0)</f>
        <v>0</v>
      </c>
      <c r="U101" s="78">
        <f>IF(U100=TRUE,6960+((U92-28000)/100*'Simulazione 8.4'!$L$15),0)</f>
        <v>0</v>
      </c>
      <c r="V101" s="78">
        <f>IF(V100=TRUE,6960+((V92-28000)/100*'Simulazione 8.4'!$L$15),0)</f>
        <v>0</v>
      </c>
      <c r="W101" s="78">
        <f>IF(W100=TRUE,6960+((W92-28000)/100*'Simulazione 8.4'!$L$15),0)</f>
        <v>0</v>
      </c>
      <c r="X101" s="78">
        <f>IF(X100=TRUE,6960+((X92-28000)/100*'Simulazione 8.4'!$L$15),0)</f>
        <v>0</v>
      </c>
      <c r="Y101" s="78">
        <f>IF(Y100=TRUE,6960+((Y92-28000)/100*'Simulazione 8.4'!$L$15),0)</f>
        <v>0</v>
      </c>
      <c r="Z101" s="78">
        <f>IF(Z100=TRUE,6960+((Z92-28000)/100*'Simulazione 8.4'!$L$15),0)</f>
        <v>0</v>
      </c>
      <c r="AA101" s="78">
        <f>IF(AA100=TRUE,6960+((AA92-28000)/100*'Simulazione 8.4'!$L$15),0)</f>
        <v>0</v>
      </c>
      <c r="AB101" s="78">
        <f>IF(AB100=TRUE,6960+((AB92-28000)/100*'Simulazione 8.4'!$L$15),0)</f>
        <v>0</v>
      </c>
    </row>
    <row r="102" spans="1:28"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>
      <c r="C103" s="77" t="s">
        <v>106</v>
      </c>
      <c r="D103" s="78" t="b">
        <f>AND(D92&lt;75001,D92&gt;55000)</f>
        <v>0</v>
      </c>
      <c r="E103" s="78" t="b">
        <f t="shared" ref="E103:W103" si="55">AND(E92&lt;75001,E92&gt;55000)</f>
        <v>0</v>
      </c>
      <c r="F103" s="78" t="b">
        <f t="shared" si="55"/>
        <v>0</v>
      </c>
      <c r="G103" s="78" t="b">
        <f t="shared" si="55"/>
        <v>0</v>
      </c>
      <c r="H103" s="78" t="b">
        <f t="shared" si="55"/>
        <v>0</v>
      </c>
      <c r="I103" s="78" t="b">
        <f t="shared" si="55"/>
        <v>0</v>
      </c>
      <c r="J103" s="78" t="b">
        <f t="shared" si="55"/>
        <v>0</v>
      </c>
      <c r="K103" s="78" t="b">
        <f t="shared" si="55"/>
        <v>0</v>
      </c>
      <c r="L103" s="78" t="b">
        <f t="shared" si="55"/>
        <v>0</v>
      </c>
      <c r="M103" s="78" t="b">
        <f t="shared" si="55"/>
        <v>0</v>
      </c>
      <c r="N103" s="78" t="b">
        <f t="shared" si="55"/>
        <v>0</v>
      </c>
      <c r="O103" s="78" t="b">
        <f t="shared" si="55"/>
        <v>0</v>
      </c>
      <c r="P103" s="78" t="b">
        <f t="shared" si="55"/>
        <v>0</v>
      </c>
      <c r="Q103" s="78" t="b">
        <f t="shared" si="55"/>
        <v>0</v>
      </c>
      <c r="R103" s="78" t="b">
        <f t="shared" si="55"/>
        <v>0</v>
      </c>
      <c r="S103" s="78" t="b">
        <f t="shared" si="55"/>
        <v>0</v>
      </c>
      <c r="T103" s="78" t="b">
        <f t="shared" si="55"/>
        <v>0</v>
      </c>
      <c r="U103" s="78" t="b">
        <f t="shared" si="55"/>
        <v>0</v>
      </c>
      <c r="V103" s="78" t="b">
        <f t="shared" si="55"/>
        <v>0</v>
      </c>
      <c r="W103" s="78" t="b">
        <f t="shared" si="55"/>
        <v>0</v>
      </c>
      <c r="X103" s="78" t="b">
        <f t="shared" ref="X103:AB103" si="56">AND(X92&lt;75001,X92&gt;55000)</f>
        <v>0</v>
      </c>
      <c r="Y103" s="78" t="b">
        <f t="shared" si="56"/>
        <v>0</v>
      </c>
      <c r="Z103" s="78" t="b">
        <f t="shared" si="56"/>
        <v>0</v>
      </c>
      <c r="AA103" s="78" t="b">
        <f t="shared" si="56"/>
        <v>0</v>
      </c>
      <c r="AB103" s="78" t="b">
        <f t="shared" si="56"/>
        <v>0</v>
      </c>
    </row>
    <row r="104" spans="1:28">
      <c r="D104" s="78">
        <f>IF(D103=TRUE,17220+((D92-55000)/100*'Simulazione 8.4'!$L$16),0)</f>
        <v>0</v>
      </c>
      <c r="E104" s="78">
        <f>IF(E103=TRUE,17220+((E92-55000)/100*'Simulazione 8.4'!$L$16),0)</f>
        <v>0</v>
      </c>
      <c r="F104" s="78">
        <f>IF(F103=TRUE,17220+((F92-55000)/100*'Simulazione 8.4'!$L$16),0)</f>
        <v>0</v>
      </c>
      <c r="G104" s="78">
        <f>IF(G103=TRUE,17220+((G92-55000)/100*'Simulazione 8.4'!$L$16),0)</f>
        <v>0</v>
      </c>
      <c r="H104" s="78">
        <f>IF(H103=TRUE,17220+((H92-55000)/100*'Simulazione 8.4'!$L$16),0)</f>
        <v>0</v>
      </c>
      <c r="I104" s="78">
        <f>IF(I103=TRUE,17220+((I92-55000)/100*'Simulazione 8.4'!$L$16),0)</f>
        <v>0</v>
      </c>
      <c r="J104" s="78">
        <f>IF(J103=TRUE,17220+((J92-55000)/100*'Simulazione 8.4'!$L$16),0)</f>
        <v>0</v>
      </c>
      <c r="K104" s="78">
        <f>IF(K103=TRUE,17220+((K92-55000)/100*'Simulazione 8.4'!$L$16),0)</f>
        <v>0</v>
      </c>
      <c r="L104" s="78">
        <f>IF(L103=TRUE,17220+((L92-55000)/100*'Simulazione 8.4'!$L$16),0)</f>
        <v>0</v>
      </c>
      <c r="M104" s="78">
        <f>IF(M103=TRUE,17220+((M92-55000)/100*'Simulazione 8.4'!$L$16),0)</f>
        <v>0</v>
      </c>
      <c r="N104" s="78">
        <f>IF(N103=TRUE,17220+((N92-55000)/100*'Simulazione 8.4'!$L$16),0)</f>
        <v>0</v>
      </c>
      <c r="O104" s="78">
        <f>IF(O103=TRUE,17220+((O92-55000)/100*'Simulazione 8.4'!$L$16),0)</f>
        <v>0</v>
      </c>
      <c r="P104" s="78">
        <f>IF(P103=TRUE,17220+((P92-55000)/100*'Simulazione 8.4'!$L$16),0)</f>
        <v>0</v>
      </c>
      <c r="Q104" s="78">
        <f>IF(Q103=TRUE,17220+((Q92-55000)/100*'Simulazione 8.4'!$L$16),0)</f>
        <v>0</v>
      </c>
      <c r="R104" s="78">
        <f>IF(R103=TRUE,17220+((R92-55000)/100*'Simulazione 8.4'!$L$16),0)</f>
        <v>0</v>
      </c>
      <c r="S104" s="78">
        <f>IF(S103=TRUE,17220+((S92-55000)/100*'Simulazione 8.4'!$L$16),0)</f>
        <v>0</v>
      </c>
      <c r="T104" s="78">
        <f>IF(T103=TRUE,17220+((T92-55000)/100*'Simulazione 8.4'!$L$16),0)</f>
        <v>0</v>
      </c>
      <c r="U104" s="78">
        <f>IF(U103=TRUE,17220+((U92-55000)/100*'Simulazione 8.4'!$L$16),0)</f>
        <v>0</v>
      </c>
      <c r="V104" s="78">
        <f>IF(V103=TRUE,17220+((V92-55000)/100*'Simulazione 8.4'!$L$16),0)</f>
        <v>0</v>
      </c>
      <c r="W104" s="78">
        <f>IF(W103=TRUE,17220+((W92-55000)/100*'Simulazione 8.4'!$L$16),0)</f>
        <v>0</v>
      </c>
      <c r="X104" s="78">
        <f>IF(X103=TRUE,17220+((X92-55000)/100*'Simulazione 8.4'!$L$16),0)</f>
        <v>0</v>
      </c>
      <c r="Y104" s="78">
        <f>IF(Y103=TRUE,17220+((Y92-55000)/100*'Simulazione 8.4'!$L$16),0)</f>
        <v>0</v>
      </c>
      <c r="Z104" s="78">
        <f>IF(Z103=TRUE,17220+((Z92-55000)/100*'Simulazione 8.4'!$L$16),0)</f>
        <v>0</v>
      </c>
      <c r="AA104" s="78">
        <f>IF(AA103=TRUE,17220+((AA92-55000)/100*'Simulazione 8.4'!$L$16),0)</f>
        <v>0</v>
      </c>
      <c r="AB104" s="78">
        <f>IF(AB103=TRUE,17220+((AB92-55000)/100*'Simulazione 8.4'!$L$16),0)</f>
        <v>0</v>
      </c>
    </row>
    <row r="105" spans="1:28"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>
      <c r="C106" s="77" t="s">
        <v>107</v>
      </c>
      <c r="D106" s="78" t="b">
        <f>AND(D92&gt;75000)</f>
        <v>0</v>
      </c>
      <c r="E106" s="78" t="b">
        <f t="shared" ref="E106:W106" si="57">AND(E92&gt;75000)</f>
        <v>0</v>
      </c>
      <c r="F106" s="78" t="b">
        <f t="shared" si="57"/>
        <v>0</v>
      </c>
      <c r="G106" s="78" t="b">
        <f t="shared" si="57"/>
        <v>0</v>
      </c>
      <c r="H106" s="78" t="b">
        <f t="shared" si="57"/>
        <v>0</v>
      </c>
      <c r="I106" s="78" t="b">
        <f t="shared" si="57"/>
        <v>0</v>
      </c>
      <c r="J106" s="78" t="b">
        <f t="shared" si="57"/>
        <v>0</v>
      </c>
      <c r="K106" s="78" t="b">
        <f t="shared" si="57"/>
        <v>0</v>
      </c>
      <c r="L106" s="78" t="b">
        <f t="shared" si="57"/>
        <v>0</v>
      </c>
      <c r="M106" s="78" t="b">
        <f t="shared" si="57"/>
        <v>0</v>
      </c>
      <c r="N106" s="78" t="b">
        <f t="shared" si="57"/>
        <v>0</v>
      </c>
      <c r="O106" s="78" t="b">
        <f t="shared" si="57"/>
        <v>0</v>
      </c>
      <c r="P106" s="78" t="b">
        <f t="shared" si="57"/>
        <v>0</v>
      </c>
      <c r="Q106" s="78" t="b">
        <f t="shared" si="57"/>
        <v>0</v>
      </c>
      <c r="R106" s="78" t="b">
        <f t="shared" si="57"/>
        <v>0</v>
      </c>
      <c r="S106" s="78" t="b">
        <f t="shared" si="57"/>
        <v>0</v>
      </c>
      <c r="T106" s="78" t="b">
        <f t="shared" si="57"/>
        <v>0</v>
      </c>
      <c r="U106" s="78" t="b">
        <f t="shared" si="57"/>
        <v>0</v>
      </c>
      <c r="V106" s="78" t="b">
        <f t="shared" si="57"/>
        <v>0</v>
      </c>
      <c r="W106" s="78" t="b">
        <f t="shared" si="57"/>
        <v>0</v>
      </c>
      <c r="X106" s="78" t="b">
        <f t="shared" ref="X106:AB106" si="58">AND(X92&gt;75000)</f>
        <v>0</v>
      </c>
      <c r="Y106" s="78" t="b">
        <f t="shared" si="58"/>
        <v>0</v>
      </c>
      <c r="Z106" s="78" t="b">
        <f t="shared" si="58"/>
        <v>0</v>
      </c>
      <c r="AA106" s="78" t="b">
        <f t="shared" si="58"/>
        <v>0</v>
      </c>
      <c r="AB106" s="78" t="b">
        <f t="shared" si="58"/>
        <v>0</v>
      </c>
    </row>
    <row r="107" spans="1:28">
      <c r="D107" s="78">
        <f>IF(D106=TRUE,25420+((D92-75000)/100*'Simulazione 8.4'!$L$17),0)</f>
        <v>0</v>
      </c>
      <c r="E107" s="78">
        <f>IF(E106=TRUE,25420+((E92-75000)/100*'Simulazione 8.4'!$L$17),0)</f>
        <v>0</v>
      </c>
      <c r="F107" s="78">
        <f>IF(F106=TRUE,25420+((F92-75000)/100*'Simulazione 8.4'!$L$17),0)</f>
        <v>0</v>
      </c>
      <c r="G107" s="78">
        <f>IF(G106=TRUE,25420+((G92-75000)/100*'Simulazione 8.4'!$L$17),0)</f>
        <v>0</v>
      </c>
      <c r="H107" s="78">
        <f>IF(H106=TRUE,25420+((H92-75000)/100*'Simulazione 8.4'!$L$17),0)</f>
        <v>0</v>
      </c>
      <c r="I107" s="78">
        <f>IF(I106=TRUE,25420+((I92-75000)/100*'Simulazione 8.4'!$L$17),0)</f>
        <v>0</v>
      </c>
      <c r="J107" s="78">
        <f>IF(J106=TRUE,25420+((J92-75000)/100*'Simulazione 8.4'!$L$17),0)</f>
        <v>0</v>
      </c>
      <c r="K107" s="78">
        <f>IF(K106=TRUE,25420+((K92-75000)/100*'Simulazione 8.4'!$L$17),0)</f>
        <v>0</v>
      </c>
      <c r="L107" s="78">
        <f>IF(L106=TRUE,25420+((L92-75000)/100*'Simulazione 8.4'!$L$17),0)</f>
        <v>0</v>
      </c>
      <c r="M107" s="78">
        <f>IF(M106=TRUE,25420+((M92-75000)/100*'Simulazione 8.4'!$L$17),0)</f>
        <v>0</v>
      </c>
      <c r="N107" s="78">
        <f>IF(N106=TRUE,25420+((N92-75000)/100*'Simulazione 8.4'!$L$17),0)</f>
        <v>0</v>
      </c>
      <c r="O107" s="78">
        <f>IF(O106=TRUE,25420+((O92-75000)/100*'Simulazione 8.4'!$L$17),0)</f>
        <v>0</v>
      </c>
      <c r="P107" s="78">
        <f>IF(P106=TRUE,25420+((P92-75000)/100*'Simulazione 8.4'!$L$17),0)</f>
        <v>0</v>
      </c>
      <c r="Q107" s="78">
        <f>IF(Q106=TRUE,25420+((Q92-75000)/100*'Simulazione 8.4'!$L$17),0)</f>
        <v>0</v>
      </c>
      <c r="R107" s="78">
        <f>IF(R106=TRUE,25420+((R92-75000)/100*'Simulazione 8.4'!$L$17),0)</f>
        <v>0</v>
      </c>
      <c r="S107" s="78">
        <f>IF(S106=TRUE,25420+((S92-75000)/100*'Simulazione 8.4'!$L$17),0)</f>
        <v>0</v>
      </c>
      <c r="T107" s="78">
        <f>IF(T106=TRUE,25420+((T92-75000)/100*'Simulazione 8.4'!$L$17),0)</f>
        <v>0</v>
      </c>
      <c r="U107" s="78">
        <f>IF(U106=TRUE,25420+((U92-75000)/100*'Simulazione 8.4'!$L$17),0)</f>
        <v>0</v>
      </c>
      <c r="V107" s="78">
        <f>IF(V106=TRUE,25420+((V92-75000)/100*'Simulazione 8.4'!$L$17),0)</f>
        <v>0</v>
      </c>
      <c r="W107" s="78">
        <f>IF(W106=TRUE,25420+((W92-75000)/100*'Simulazione 8.4'!$L$17),0)</f>
        <v>0</v>
      </c>
      <c r="X107" s="78">
        <f>IF(X106=TRUE,25420+((X92-75000)/100*'Simulazione 8.4'!$L$17),0)</f>
        <v>0</v>
      </c>
      <c r="Y107" s="78">
        <f>IF(Y106=TRUE,25420+((Y92-75000)/100*'Simulazione 8.4'!$L$17),0)</f>
        <v>0</v>
      </c>
      <c r="Z107" s="78">
        <f>IF(Z106=TRUE,25420+((Z92-75000)/100*'Simulazione 8.4'!$L$17),0)</f>
        <v>0</v>
      </c>
      <c r="AA107" s="78">
        <f>IF(AA106=TRUE,25420+((AA92-75000)/100*'Simulazione 8.4'!$L$17),0)</f>
        <v>0</v>
      </c>
      <c r="AB107" s="78">
        <f>IF(AB106=TRUE,25420+((AB92-75000)/100*'Simulazione 8.4'!$L$17),0)</f>
        <v>0</v>
      </c>
    </row>
    <row r="108" spans="1:28"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>
      <c r="D110" s="78">
        <f>D95+D98+D101+D104+D107</f>
        <v>0</v>
      </c>
      <c r="E110" s="78">
        <f t="shared" ref="E110:W110" si="59">E95+E98+E101+E104+E107</f>
        <v>0</v>
      </c>
      <c r="F110" s="78">
        <f t="shared" si="59"/>
        <v>0</v>
      </c>
      <c r="G110" s="78">
        <f t="shared" si="59"/>
        <v>0</v>
      </c>
      <c r="H110" s="78">
        <f t="shared" si="59"/>
        <v>0</v>
      </c>
      <c r="I110" s="78">
        <f t="shared" si="59"/>
        <v>0</v>
      </c>
      <c r="J110" s="78">
        <f t="shared" si="59"/>
        <v>0</v>
      </c>
      <c r="K110" s="78">
        <f t="shared" si="59"/>
        <v>0</v>
      </c>
      <c r="L110" s="78">
        <f t="shared" si="59"/>
        <v>0</v>
      </c>
      <c r="M110" s="78">
        <f t="shared" si="59"/>
        <v>0</v>
      </c>
      <c r="N110" s="78">
        <f t="shared" si="59"/>
        <v>0</v>
      </c>
      <c r="O110" s="78">
        <f t="shared" si="59"/>
        <v>0</v>
      </c>
      <c r="P110" s="78">
        <f t="shared" si="59"/>
        <v>0</v>
      </c>
      <c r="Q110" s="78">
        <f t="shared" si="59"/>
        <v>0</v>
      </c>
      <c r="R110" s="78">
        <f t="shared" si="59"/>
        <v>0</v>
      </c>
      <c r="S110" s="78">
        <f t="shared" si="59"/>
        <v>0</v>
      </c>
      <c r="T110" s="78">
        <f t="shared" si="59"/>
        <v>0</v>
      </c>
      <c r="U110" s="78">
        <f t="shared" si="59"/>
        <v>0</v>
      </c>
      <c r="V110" s="78">
        <f t="shared" si="59"/>
        <v>0</v>
      </c>
      <c r="W110" s="78">
        <f t="shared" si="59"/>
        <v>0</v>
      </c>
      <c r="X110" s="78">
        <f t="shared" ref="X110:AB110" si="60">X95+X98+X101+X104+X107</f>
        <v>0</v>
      </c>
      <c r="Y110" s="78">
        <f t="shared" si="60"/>
        <v>0</v>
      </c>
      <c r="Z110" s="78">
        <f t="shared" si="60"/>
        <v>0</v>
      </c>
      <c r="AA110" s="78">
        <f t="shared" si="60"/>
        <v>0</v>
      </c>
      <c r="AB110" s="78">
        <f t="shared" si="60"/>
        <v>0</v>
      </c>
    </row>
    <row r="111" spans="1:28">
      <c r="D111" s="78">
        <f t="shared" ref="D111:AB111" si="61">IF(D110&gt;0,D110,0)</f>
        <v>0</v>
      </c>
      <c r="E111" s="78">
        <f t="shared" si="61"/>
        <v>0</v>
      </c>
      <c r="F111" s="78">
        <f t="shared" si="61"/>
        <v>0</v>
      </c>
      <c r="G111" s="78">
        <f t="shared" si="61"/>
        <v>0</v>
      </c>
      <c r="H111" s="78">
        <f t="shared" si="61"/>
        <v>0</v>
      </c>
      <c r="I111" s="78">
        <f t="shared" si="61"/>
        <v>0</v>
      </c>
      <c r="J111" s="78">
        <f t="shared" si="61"/>
        <v>0</v>
      </c>
      <c r="K111" s="78">
        <f t="shared" si="61"/>
        <v>0</v>
      </c>
      <c r="L111" s="78">
        <f t="shared" si="61"/>
        <v>0</v>
      </c>
      <c r="M111" s="78">
        <f t="shared" si="61"/>
        <v>0</v>
      </c>
      <c r="N111" s="78">
        <f t="shared" si="61"/>
        <v>0</v>
      </c>
      <c r="O111" s="78">
        <f t="shared" si="61"/>
        <v>0</v>
      </c>
      <c r="P111" s="78">
        <f t="shared" si="61"/>
        <v>0</v>
      </c>
      <c r="Q111" s="78">
        <f t="shared" si="61"/>
        <v>0</v>
      </c>
      <c r="R111" s="78">
        <f t="shared" si="61"/>
        <v>0</v>
      </c>
      <c r="S111" s="78">
        <f t="shared" si="61"/>
        <v>0</v>
      </c>
      <c r="T111" s="78">
        <f t="shared" si="61"/>
        <v>0</v>
      </c>
      <c r="U111" s="78">
        <f t="shared" si="61"/>
        <v>0</v>
      </c>
      <c r="V111" s="78">
        <f t="shared" si="61"/>
        <v>0</v>
      </c>
      <c r="W111" s="78">
        <f t="shared" si="61"/>
        <v>0</v>
      </c>
      <c r="X111" s="78">
        <f t="shared" si="61"/>
        <v>0</v>
      </c>
      <c r="Y111" s="78">
        <f t="shared" si="61"/>
        <v>0</v>
      </c>
      <c r="Z111" s="78">
        <f t="shared" si="61"/>
        <v>0</v>
      </c>
      <c r="AA111" s="78">
        <f t="shared" si="61"/>
        <v>0</v>
      </c>
      <c r="AB111" s="78">
        <f t="shared" si="61"/>
        <v>0</v>
      </c>
    </row>
    <row r="114" spans="3:39">
      <c r="C114" s="78">
        <f>'Simulazione 8.4'!E101</f>
        <v>-5655.7753344914254</v>
      </c>
      <c r="D114" s="78">
        <f>'Simulazione 8.4'!F101</f>
        <v>-4751.7854605025723</v>
      </c>
      <c r="E114" s="78">
        <f>'Simulazione 8.4'!G101</f>
        <v>-3846.7504613201672</v>
      </c>
      <c r="F114" s="78">
        <f>'Simulazione 8.4'!H101</f>
        <v>-2940.3841518193708</v>
      </c>
      <c r="G114" s="78">
        <f>'Simulazione 8.4'!I101</f>
        <v>-2032.3938656255182</v>
      </c>
      <c r="H114" s="78">
        <f>'Simulazione 8.4'!J101</f>
        <v>-1122.4802359414637</v>
      </c>
      <c r="I114" s="78">
        <f>'Simulazione 8.4'!K101</f>
        <v>-210.33696984475847</v>
      </c>
      <c r="J114" s="78">
        <f>'Simulazione 8.4'!L101</f>
        <v>704.34938414708881</v>
      </c>
      <c r="K114" s="78">
        <f>'Simulazione 8.4'!M101</f>
        <v>1621.8996754511877</v>
      </c>
      <c r="L114" s="78">
        <f>'Simulazione 8.4'!N101</f>
        <v>2292.6423979479523</v>
      </c>
      <c r="M114" s="78">
        <f>'Simulazione 8.4'!O101</f>
        <v>3216.9139438847219</v>
      </c>
      <c r="N114" s="78">
        <f>'Simulazione 8.4'!P101</f>
        <v>4145.0588653818941</v>
      </c>
      <c r="O114" s="78">
        <f>'Simulazione 8.4'!Q101</f>
        <v>5077.4301437761033</v>
      </c>
      <c r="P114" s="78">
        <f>'Simulazione 8.4'!R101</f>
        <v>6014.3894670421532</v>
      </c>
      <c r="Q114" s="78">
        <f>'Simulazione 8.4'!S101</f>
        <v>6956.3075155428005</v>
      </c>
      <c r="R114" s="78">
        <f>'Simulazione 8.4'!T101</f>
        <v>7903.5642563631063</v>
      </c>
      <c r="S114" s="78">
        <f>'Simulazione 8.4'!U101</f>
        <v>8856.5492464939234</v>
      </c>
      <c r="T114" s="78">
        <f>'Simulazione 8.4'!V101</f>
        <v>9815.6619451371789</v>
      </c>
      <c r="U114" s="78">
        <f>'Simulazione 8.4'!W101</f>
        <v>10781.312035413959</v>
      </c>
      <c r="V114" s="78">
        <f>'Simulazione 8.4'!X101</f>
        <v>11503.919755764993</v>
      </c>
    </row>
    <row r="117" spans="3:39">
      <c r="C117" s="6" t="s">
        <v>86</v>
      </c>
      <c r="D117" s="6" t="b">
        <f>AND(D76&gt;1,D76&lt;4)</f>
        <v>0</v>
      </c>
    </row>
    <row r="119" spans="3:39">
      <c r="D119" s="514" t="s">
        <v>119</v>
      </c>
      <c r="E119" s="514"/>
      <c r="F119" s="514"/>
      <c r="O119" s="6" t="s">
        <v>39</v>
      </c>
    </row>
    <row r="120" spans="3:39">
      <c r="D120" s="179"/>
      <c r="E120" s="179"/>
      <c r="F120" s="179"/>
      <c r="O120" s="6" t="s">
        <v>126</v>
      </c>
      <c r="Q120" s="178"/>
    </row>
    <row r="121" spans="3:39" ht="15.75" thickBot="1">
      <c r="O121" s="2" t="s">
        <v>213</v>
      </c>
    </row>
    <row r="122" spans="3:39">
      <c r="D122" s="23"/>
      <c r="E122" s="15"/>
      <c r="F122" s="508" t="s">
        <v>4</v>
      </c>
      <c r="G122" s="509"/>
      <c r="H122" s="83"/>
      <c r="I122" s="83"/>
      <c r="J122" s="84"/>
      <c r="K122" s="15"/>
      <c r="L122" s="508" t="s">
        <v>5</v>
      </c>
      <c r="M122" s="509"/>
      <c r="N122" s="2"/>
      <c r="O122" s="2" t="s">
        <v>211</v>
      </c>
    </row>
    <row r="123" spans="3:39">
      <c r="D123" s="22"/>
      <c r="E123" s="2"/>
      <c r="F123" s="5" t="s">
        <v>2</v>
      </c>
      <c r="G123" s="26" t="s">
        <v>3</v>
      </c>
      <c r="H123" s="83"/>
      <c r="I123" s="83"/>
      <c r="J123" s="85"/>
      <c r="K123" s="2"/>
      <c r="L123" s="5" t="s">
        <v>2</v>
      </c>
      <c r="M123" s="26" t="s">
        <v>3</v>
      </c>
      <c r="N123" s="27"/>
      <c r="O123" s="27" t="s">
        <v>212</v>
      </c>
    </row>
    <row r="124" spans="3:39">
      <c r="D124" s="22" t="b">
        <f>AND($D$1=1,$D$7=1,'Simulazione 8.4'!$C$4&lt;=3,'Simulazione 8.4'!$C$4&gt;=1)</f>
        <v>1</v>
      </c>
      <c r="E124" s="28" t="s">
        <v>6</v>
      </c>
      <c r="F124" s="5">
        <v>208</v>
      </c>
      <c r="G124" s="26">
        <f t="shared" ref="G124:G129" si="62">F124-82</f>
        <v>126</v>
      </c>
      <c r="H124" s="83">
        <f t="shared" ref="H124:H129" si="63">IF(D124=TRUE,(F124+L124)/2,0)</f>
        <v>204.5</v>
      </c>
      <c r="I124" s="83">
        <f t="shared" ref="I124:I129" si="64">IF(D124=TRUE,(G124+M124)/2,0)</f>
        <v>122.5</v>
      </c>
      <c r="J124" s="22"/>
      <c r="K124" s="28" t="s">
        <v>6</v>
      </c>
      <c r="L124" s="5">
        <v>201</v>
      </c>
      <c r="M124" s="26">
        <f t="shared" ref="M124:M129" si="65">L124-82</f>
        <v>119</v>
      </c>
      <c r="N124" s="5"/>
      <c r="O124" s="5">
        <v>4</v>
      </c>
    </row>
    <row r="125" spans="3:39">
      <c r="D125" s="22" t="b">
        <f>AND($D$1=1,$D$7=1,'Simulazione 8.4'!$C$4&lt;=20,'Simulazione 8.4'!$C$4&gt;3)</f>
        <v>0</v>
      </c>
      <c r="E125" s="28" t="s">
        <v>7</v>
      </c>
      <c r="F125" s="5">
        <v>196</v>
      </c>
      <c r="G125" s="26">
        <f t="shared" si="62"/>
        <v>114</v>
      </c>
      <c r="H125" s="83">
        <f t="shared" si="63"/>
        <v>0</v>
      </c>
      <c r="I125" s="83">
        <f t="shared" si="64"/>
        <v>0</v>
      </c>
      <c r="J125" s="22"/>
      <c r="K125" s="28" t="s">
        <v>7</v>
      </c>
      <c r="L125" s="5">
        <v>189</v>
      </c>
      <c r="M125" s="26">
        <f t="shared" si="65"/>
        <v>107</v>
      </c>
      <c r="N125" s="5"/>
      <c r="O125" s="5"/>
    </row>
    <row r="126" spans="3:39">
      <c r="D126" s="22" t="b">
        <f>AND($D$1=1,$D$7=1,'Simulazione 8.4'!$C$4&lt;=200,'Simulazione 8.4'!$C$4&gt;20)</f>
        <v>0</v>
      </c>
      <c r="E126" s="28" t="s">
        <v>8</v>
      </c>
      <c r="F126" s="5">
        <v>175</v>
      </c>
      <c r="G126" s="26">
        <f t="shared" si="62"/>
        <v>93</v>
      </c>
      <c r="H126" s="83">
        <f t="shared" si="63"/>
        <v>0</v>
      </c>
      <c r="I126" s="83">
        <f t="shared" si="64"/>
        <v>0</v>
      </c>
      <c r="J126" s="22"/>
      <c r="K126" s="28" t="s">
        <v>8</v>
      </c>
      <c r="L126" s="5">
        <v>168</v>
      </c>
      <c r="M126" s="26">
        <f t="shared" si="65"/>
        <v>86</v>
      </c>
      <c r="N126" s="5"/>
      <c r="O126" s="174">
        <v>1</v>
      </c>
      <c r="P126" s="174">
        <v>2</v>
      </c>
      <c r="Q126" s="174">
        <v>3</v>
      </c>
      <c r="R126" s="174">
        <v>4</v>
      </c>
      <c r="S126" s="174">
        <v>5</v>
      </c>
      <c r="T126" s="418">
        <v>6</v>
      </c>
      <c r="U126" s="174">
        <v>7</v>
      </c>
      <c r="V126" s="174">
        <v>8</v>
      </c>
      <c r="W126" s="174">
        <v>9</v>
      </c>
      <c r="X126" s="174">
        <v>10</v>
      </c>
      <c r="Y126" s="174">
        <v>11</v>
      </c>
      <c r="Z126" s="174">
        <v>12</v>
      </c>
      <c r="AA126" s="174">
        <v>13</v>
      </c>
      <c r="AB126" s="174">
        <v>14</v>
      </c>
      <c r="AC126" s="174">
        <v>15</v>
      </c>
      <c r="AD126" s="174">
        <v>16</v>
      </c>
      <c r="AE126" s="174">
        <v>17</v>
      </c>
      <c r="AF126" s="174">
        <v>18</v>
      </c>
      <c r="AG126" s="174">
        <v>19</v>
      </c>
      <c r="AH126" s="174">
        <v>20</v>
      </c>
      <c r="AI126" s="174">
        <v>21</v>
      </c>
      <c r="AJ126" s="174">
        <v>22</v>
      </c>
      <c r="AK126" s="174">
        <v>23</v>
      </c>
      <c r="AL126" s="174">
        <v>24</v>
      </c>
      <c r="AM126" s="174">
        <v>25</v>
      </c>
    </row>
    <row r="127" spans="3:39">
      <c r="D127" s="22" t="b">
        <f>AND($D$1=1,$D$7=1,'Simulazione 8.4'!$C$4&lt;=1000,'Simulazione 8.4'!$C$4&gt;200)</f>
        <v>0</v>
      </c>
      <c r="E127" s="28" t="s">
        <v>9</v>
      </c>
      <c r="F127" s="5">
        <v>142</v>
      </c>
      <c r="G127" s="26">
        <f t="shared" si="62"/>
        <v>60</v>
      </c>
      <c r="H127" s="83">
        <f t="shared" si="63"/>
        <v>0</v>
      </c>
      <c r="I127" s="83">
        <f t="shared" si="64"/>
        <v>0</v>
      </c>
      <c r="J127" s="22"/>
      <c r="K127" s="28" t="s">
        <v>9</v>
      </c>
      <c r="L127" s="5">
        <v>135</v>
      </c>
      <c r="M127" s="26">
        <f t="shared" si="65"/>
        <v>53</v>
      </c>
      <c r="N127" s="5"/>
      <c r="O127" s="175"/>
      <c r="P127" s="174"/>
      <c r="Q127" s="174">
        <f>IF($O$124=2,1,0)</f>
        <v>0</v>
      </c>
      <c r="R127" s="174"/>
      <c r="S127" s="174">
        <f>IF($O$124=3,1,0)</f>
        <v>0</v>
      </c>
      <c r="T127" s="418">
        <f>IF($O$124=2,1,0)</f>
        <v>0</v>
      </c>
      <c r="U127" s="174"/>
      <c r="V127" s="174"/>
      <c r="W127" s="174">
        <f>IF($O$124=2,1,0)</f>
        <v>0</v>
      </c>
      <c r="X127" s="174">
        <f>IF($O$124=3,1,0)</f>
        <v>0</v>
      </c>
      <c r="Y127" s="174"/>
      <c r="Z127" s="174">
        <f>IF($O$124=2,1,0)</f>
        <v>0</v>
      </c>
      <c r="AA127" s="174"/>
      <c r="AB127" s="174"/>
      <c r="AC127" s="174">
        <f>IF($O$124=2,1,0)</f>
        <v>0</v>
      </c>
      <c r="AD127" s="174"/>
      <c r="AE127" s="174"/>
      <c r="AF127" s="174">
        <f>IF($O$124=2,1,0)</f>
        <v>0</v>
      </c>
      <c r="AG127" s="174"/>
      <c r="AH127" s="174"/>
      <c r="AI127" s="174">
        <f>IF($O$124=2,1,0)</f>
        <v>0</v>
      </c>
      <c r="AJ127" s="174"/>
      <c r="AK127" s="174"/>
      <c r="AL127" s="174">
        <f>IF($O$124=2,1,0)</f>
        <v>0</v>
      </c>
      <c r="AM127" s="174"/>
    </row>
    <row r="128" spans="3:39">
      <c r="D128" s="22" t="b">
        <f>AND($D$1=1,$D$7=1,'Simulazione 8.4'!$C$4&lt;=5000,'Simulazione 8.4'!$C$4&gt;1000)</f>
        <v>0</v>
      </c>
      <c r="E128" s="28" t="s">
        <v>10</v>
      </c>
      <c r="F128" s="5">
        <v>126</v>
      </c>
      <c r="G128" s="26">
        <f t="shared" si="62"/>
        <v>44</v>
      </c>
      <c r="H128" s="83">
        <f t="shared" si="63"/>
        <v>0</v>
      </c>
      <c r="I128" s="83">
        <f t="shared" si="64"/>
        <v>0</v>
      </c>
      <c r="J128" s="22"/>
      <c r="K128" s="28" t="s">
        <v>10</v>
      </c>
      <c r="L128" s="5">
        <v>120</v>
      </c>
      <c r="M128" s="26">
        <f t="shared" si="65"/>
        <v>38</v>
      </c>
      <c r="N128" s="5"/>
      <c r="O128" s="5"/>
      <c r="X128" s="174">
        <f>IF($O$124=4,1,0)</f>
        <v>1</v>
      </c>
      <c r="AC128" s="174">
        <f>IF($O$124=3,1,0)</f>
        <v>0</v>
      </c>
      <c r="AH128" s="174">
        <f>IF($O$124=3,1,0)</f>
        <v>0</v>
      </c>
      <c r="AM128" s="174">
        <f>IF($O$124=3,1,0)</f>
        <v>0</v>
      </c>
    </row>
    <row r="129" spans="4:39" ht="15.75" thickBot="1">
      <c r="D129" s="29" t="b">
        <f>AND($D$1=1,$D$7=1,'Simulazione 8.4'!$C$4&gt;=5000)</f>
        <v>0</v>
      </c>
      <c r="E129" s="30" t="s">
        <v>11</v>
      </c>
      <c r="F129" s="31">
        <v>119</v>
      </c>
      <c r="G129" s="32">
        <f t="shared" si="62"/>
        <v>37</v>
      </c>
      <c r="H129" s="83">
        <f t="shared" si="63"/>
        <v>0</v>
      </c>
      <c r="I129" s="83">
        <f t="shared" si="64"/>
        <v>0</v>
      </c>
      <c r="J129" s="29"/>
      <c r="K129" s="30" t="s">
        <v>11</v>
      </c>
      <c r="L129" s="31">
        <v>113</v>
      </c>
      <c r="M129" s="32">
        <f t="shared" si="65"/>
        <v>31</v>
      </c>
      <c r="N129" s="5"/>
      <c r="O129" s="5"/>
      <c r="AH129" s="174">
        <f>IF($O$124=4,1,0)</f>
        <v>1</v>
      </c>
    </row>
    <row r="130" spans="4:39" ht="15.75" thickBot="1">
      <c r="F130" s="83"/>
      <c r="G130" s="83"/>
      <c r="H130" s="33">
        <f>IF($H$9=3,H124+H125+H126+H127+H128+H129,0)</f>
        <v>0</v>
      </c>
      <c r="I130" s="33">
        <f>IF($H$9=3,I124+I125+I126+I127+I128+I129,0)</f>
        <v>0</v>
      </c>
      <c r="K130" s="83"/>
      <c r="L130" s="83"/>
      <c r="M130" s="83"/>
      <c r="N130" s="5"/>
      <c r="O130" s="5"/>
    </row>
    <row r="131" spans="4:39">
      <c r="F131" s="83"/>
      <c r="G131" s="83"/>
      <c r="H131" s="5"/>
      <c r="I131" s="5"/>
      <c r="K131" s="83"/>
      <c r="L131" s="83"/>
      <c r="M131" s="83"/>
      <c r="N131" s="5"/>
      <c r="O131" s="5">
        <f>SUM(O127:O129)</f>
        <v>0</v>
      </c>
      <c r="P131" s="175">
        <f t="shared" ref="P131:AM131" si="66">SUM(P127:P129)</f>
        <v>0</v>
      </c>
      <c r="Q131" s="175">
        <f t="shared" si="66"/>
        <v>0</v>
      </c>
      <c r="R131" s="175">
        <f t="shared" si="66"/>
        <v>0</v>
      </c>
      <c r="S131" s="175">
        <f t="shared" si="66"/>
        <v>0</v>
      </c>
      <c r="T131" s="419">
        <f t="shared" si="66"/>
        <v>0</v>
      </c>
      <c r="U131" s="175">
        <f t="shared" si="66"/>
        <v>0</v>
      </c>
      <c r="V131" s="175">
        <f t="shared" si="66"/>
        <v>0</v>
      </c>
      <c r="W131" s="175">
        <f t="shared" si="66"/>
        <v>0</v>
      </c>
      <c r="X131" s="175">
        <f t="shared" si="66"/>
        <v>1</v>
      </c>
      <c r="Y131" s="175">
        <f t="shared" si="66"/>
        <v>0</v>
      </c>
      <c r="Z131" s="175">
        <f t="shared" si="66"/>
        <v>0</v>
      </c>
      <c r="AA131" s="175">
        <f t="shared" si="66"/>
        <v>0</v>
      </c>
      <c r="AB131" s="175">
        <f t="shared" si="66"/>
        <v>0</v>
      </c>
      <c r="AC131" s="175">
        <f t="shared" si="66"/>
        <v>0</v>
      </c>
      <c r="AD131" s="175">
        <f t="shared" si="66"/>
        <v>0</v>
      </c>
      <c r="AE131" s="175">
        <f t="shared" si="66"/>
        <v>0</v>
      </c>
      <c r="AF131" s="175">
        <f t="shared" si="66"/>
        <v>0</v>
      </c>
      <c r="AG131" s="175">
        <f t="shared" si="66"/>
        <v>0</v>
      </c>
      <c r="AH131" s="175">
        <f t="shared" si="66"/>
        <v>1</v>
      </c>
      <c r="AI131" s="175">
        <f t="shared" si="66"/>
        <v>0</v>
      </c>
      <c r="AJ131" s="175">
        <f t="shared" si="66"/>
        <v>0</v>
      </c>
      <c r="AK131" s="175">
        <f t="shared" si="66"/>
        <v>0</v>
      </c>
      <c r="AL131" s="175">
        <f t="shared" si="66"/>
        <v>0</v>
      </c>
      <c r="AM131" s="175">
        <f t="shared" si="66"/>
        <v>0</v>
      </c>
    </row>
    <row r="132" spans="4:39" ht="15.75" thickBot="1">
      <c r="F132" s="506"/>
      <c r="G132" s="506"/>
      <c r="H132" s="83"/>
      <c r="I132" s="83"/>
      <c r="K132" s="83"/>
      <c r="L132" s="506"/>
      <c r="M132" s="506"/>
      <c r="N132" s="5"/>
      <c r="O132" s="5"/>
    </row>
    <row r="133" spans="4:39" ht="15.75">
      <c r="D133" s="62"/>
      <c r="E133" s="63"/>
      <c r="F133" s="64" t="s">
        <v>2</v>
      </c>
      <c r="G133" s="65" t="s">
        <v>3</v>
      </c>
      <c r="H133" s="40"/>
      <c r="I133" s="40"/>
      <c r="J133" s="62"/>
      <c r="K133" s="63"/>
      <c r="L133" s="64" t="s">
        <v>2</v>
      </c>
      <c r="M133" s="65" t="s">
        <v>3</v>
      </c>
      <c r="N133" s="38"/>
      <c r="O133" s="38"/>
    </row>
    <row r="134" spans="4:39" ht="15.75">
      <c r="D134" s="22" t="b">
        <f>AND($D$1=2,$D$7=1,'Simulazione 8.4'!$C$4&lt;=3,'Simulazione 8.4'!$C$4&gt;=1)</f>
        <v>0</v>
      </c>
      <c r="E134" s="28" t="s">
        <v>6</v>
      </c>
      <c r="F134" s="42">
        <v>182</v>
      </c>
      <c r="G134" s="43">
        <f t="shared" ref="G134:G139" si="67">F134-82</f>
        <v>100</v>
      </c>
      <c r="H134" s="83">
        <f t="shared" ref="H134:H139" si="68">IF(D134=TRUE,(F134+L134)/2,0)</f>
        <v>0</v>
      </c>
      <c r="I134" s="83">
        <f t="shared" ref="I134:I139" si="69">IF(D134=TRUE,(G134+M134)/2,0)</f>
        <v>0</v>
      </c>
      <c r="J134" s="22"/>
      <c r="K134" s="28" t="s">
        <v>6</v>
      </c>
      <c r="L134" s="42">
        <v>176</v>
      </c>
      <c r="M134" s="43">
        <f t="shared" ref="M134:M139" si="70">L134-82</f>
        <v>94</v>
      </c>
      <c r="N134" s="5"/>
      <c r="O134" s="5"/>
    </row>
    <row r="135" spans="4:39" ht="15.75">
      <c r="D135" s="22" t="b">
        <f>AND($D$1=2,$D$7=1,'Simulazione 8.4'!$C$4&lt;=20,'Simulazione 8.4'!$C$4&gt;3)</f>
        <v>0</v>
      </c>
      <c r="E135" s="28" t="s">
        <v>7</v>
      </c>
      <c r="F135" s="42">
        <v>171</v>
      </c>
      <c r="G135" s="43">
        <f t="shared" si="67"/>
        <v>89</v>
      </c>
      <c r="H135" s="83">
        <f t="shared" si="68"/>
        <v>0</v>
      </c>
      <c r="I135" s="83">
        <f t="shared" si="69"/>
        <v>0</v>
      </c>
      <c r="J135" s="22"/>
      <c r="K135" s="28" t="s">
        <v>7</v>
      </c>
      <c r="L135" s="42">
        <v>165</v>
      </c>
      <c r="M135" s="43">
        <f t="shared" si="70"/>
        <v>83</v>
      </c>
      <c r="N135" s="5"/>
      <c r="O135" s="5"/>
    </row>
    <row r="136" spans="4:39" ht="15.75">
      <c r="D136" s="22" t="b">
        <f>AND($D$1=2,$D$7=1,'Simulazione 8.4'!$C$4&lt;=200,'Simulazione 8.4'!$C$4&gt;20)</f>
        <v>0</v>
      </c>
      <c r="E136" s="28" t="s">
        <v>8</v>
      </c>
      <c r="F136" s="42">
        <v>157</v>
      </c>
      <c r="G136" s="43">
        <f t="shared" si="67"/>
        <v>75</v>
      </c>
      <c r="H136" s="83">
        <f t="shared" si="68"/>
        <v>0</v>
      </c>
      <c r="I136" s="83">
        <f t="shared" si="69"/>
        <v>0</v>
      </c>
      <c r="J136" s="22"/>
      <c r="K136" s="28" t="s">
        <v>8</v>
      </c>
      <c r="L136" s="42">
        <v>151</v>
      </c>
      <c r="M136" s="43">
        <f t="shared" si="70"/>
        <v>69</v>
      </c>
      <c r="N136" s="5"/>
      <c r="O136" s="5"/>
    </row>
    <row r="137" spans="4:39" ht="15.75">
      <c r="D137" s="22" t="b">
        <f>AND($D$1=2,$D$7=1,'Simulazione 8.4'!$C$4&lt;=1000,'Simulazione 8.4'!$C$4&gt;200)</f>
        <v>0</v>
      </c>
      <c r="E137" s="28" t="s">
        <v>9</v>
      </c>
      <c r="F137" s="38">
        <v>130</v>
      </c>
      <c r="G137" s="39">
        <f t="shared" si="67"/>
        <v>48</v>
      </c>
      <c r="H137" s="83">
        <f t="shared" si="68"/>
        <v>0</v>
      </c>
      <c r="I137" s="83">
        <f t="shared" si="69"/>
        <v>0</v>
      </c>
      <c r="J137" s="22"/>
      <c r="K137" s="28" t="s">
        <v>9</v>
      </c>
      <c r="L137" s="38">
        <v>124</v>
      </c>
      <c r="M137" s="39">
        <f t="shared" si="70"/>
        <v>42</v>
      </c>
      <c r="N137" s="5"/>
      <c r="O137" s="5"/>
    </row>
    <row r="138" spans="4:39" ht="15.75">
      <c r="D138" s="22" t="b">
        <f>AND($D$1=2,$D$7=1,'Simulazione 8.4'!$C$4&lt;=5000,'Simulazione 8.4'!$C$4&gt;1000)</f>
        <v>0</v>
      </c>
      <c r="E138" s="28" t="s">
        <v>10</v>
      </c>
      <c r="F138" s="42">
        <v>118</v>
      </c>
      <c r="G138" s="43">
        <f t="shared" si="67"/>
        <v>36</v>
      </c>
      <c r="H138" s="83">
        <f t="shared" si="68"/>
        <v>0</v>
      </c>
      <c r="I138" s="83">
        <f t="shared" si="69"/>
        <v>0</v>
      </c>
      <c r="J138" s="22"/>
      <c r="K138" s="28" t="s">
        <v>10</v>
      </c>
      <c r="L138" s="42">
        <v>113</v>
      </c>
      <c r="M138" s="43">
        <f t="shared" si="70"/>
        <v>31</v>
      </c>
      <c r="N138" s="5"/>
      <c r="O138" s="5"/>
    </row>
    <row r="139" spans="4:39" ht="16.5" thickBot="1">
      <c r="D139" s="29" t="b">
        <f>AND($D$1=2,$D$7=1,'Simulazione 8.4'!$C$4&gt;=5000)</f>
        <v>0</v>
      </c>
      <c r="E139" s="30" t="s">
        <v>11</v>
      </c>
      <c r="F139" s="47">
        <v>112</v>
      </c>
      <c r="G139" s="48">
        <f t="shared" si="67"/>
        <v>30</v>
      </c>
      <c r="H139" s="83">
        <f t="shared" si="68"/>
        <v>0</v>
      </c>
      <c r="I139" s="83">
        <f t="shared" si="69"/>
        <v>0</v>
      </c>
      <c r="J139" s="29"/>
      <c r="K139" s="30" t="s">
        <v>11</v>
      </c>
      <c r="L139" s="47">
        <v>106</v>
      </c>
      <c r="M139" s="48">
        <f t="shared" si="70"/>
        <v>24</v>
      </c>
      <c r="N139" s="5"/>
      <c r="O139" s="5"/>
    </row>
    <row r="140" spans="4:39" ht="16.5" thickBot="1">
      <c r="D140" s="41"/>
      <c r="E140" s="41"/>
      <c r="F140" s="44"/>
      <c r="G140" s="44"/>
      <c r="H140" s="33">
        <f>IF($H$9=3,H134+H135+H136+H137+H138+H139,0)</f>
        <v>0</v>
      </c>
      <c r="I140" s="33">
        <f>IF($H$9=3,I134+I135+I136+I137+I138+I139,0)</f>
        <v>0</v>
      </c>
      <c r="J140" s="41"/>
      <c r="K140" s="44"/>
      <c r="L140" s="44"/>
      <c r="M140" s="44"/>
      <c r="N140" s="42"/>
      <c r="O140" s="42"/>
    </row>
    <row r="141" spans="4:39" ht="15.7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11"/>
      <c r="O141" s="11"/>
    </row>
    <row r="142" spans="4:39" ht="16.5" thickBot="1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11"/>
      <c r="O142" s="11"/>
    </row>
    <row r="143" spans="4:39" ht="15.75">
      <c r="D143" s="62"/>
      <c r="E143" s="63"/>
      <c r="F143" s="64" t="s">
        <v>2</v>
      </c>
      <c r="G143" s="65" t="s">
        <v>3</v>
      </c>
      <c r="H143" s="40"/>
      <c r="I143" s="40"/>
      <c r="J143" s="62"/>
      <c r="K143" s="63"/>
      <c r="L143" s="64" t="s">
        <v>2</v>
      </c>
      <c r="M143" s="65" t="s">
        <v>3</v>
      </c>
      <c r="N143" s="38"/>
      <c r="O143" s="38"/>
    </row>
    <row r="144" spans="4:39" ht="15.75">
      <c r="D144" s="22" t="b">
        <f>AND($D$1=3,$D$7=1,'Simulazione 8.4'!$C$4&lt;=3,'Simulazione 8.4'!$C$4&gt;=1)</f>
        <v>0</v>
      </c>
      <c r="E144" s="28" t="s">
        <v>6</v>
      </c>
      <c r="F144" s="42">
        <v>157</v>
      </c>
      <c r="G144" s="43">
        <f t="shared" ref="G144:G149" si="71">F144-82</f>
        <v>75</v>
      </c>
      <c r="H144" s="83">
        <f t="shared" ref="H144:H149" si="72">IF(D144=TRUE,(F144+L144)/2,0)</f>
        <v>0</v>
      </c>
      <c r="I144" s="83">
        <f t="shared" ref="I144:I149" si="73">IF(D144=TRUE,(G144+M144)/2,0)</f>
        <v>0</v>
      </c>
      <c r="J144" s="22"/>
      <c r="K144" s="28" t="s">
        <v>6</v>
      </c>
      <c r="L144" s="42">
        <v>152</v>
      </c>
      <c r="M144" s="43">
        <f t="shared" ref="M144:M149" si="74">L144-82</f>
        <v>70</v>
      </c>
      <c r="N144" s="5"/>
      <c r="O144" s="5"/>
    </row>
    <row r="145" spans="4:15" ht="15.75">
      <c r="D145" s="22" t="b">
        <f>AND($D$1=3,$D$7=1,'Simulazione 8.4'!$C$4&lt;=20,'Simulazione 8.4'!$C$4&gt;3)</f>
        <v>0</v>
      </c>
      <c r="E145" s="28" t="s">
        <v>7</v>
      </c>
      <c r="F145" s="42">
        <v>149</v>
      </c>
      <c r="G145" s="43">
        <f t="shared" si="71"/>
        <v>67</v>
      </c>
      <c r="H145" s="83">
        <f t="shared" si="72"/>
        <v>0</v>
      </c>
      <c r="I145" s="83">
        <f t="shared" si="73"/>
        <v>0</v>
      </c>
      <c r="J145" s="22"/>
      <c r="K145" s="28" t="s">
        <v>7</v>
      </c>
      <c r="L145" s="42">
        <v>144</v>
      </c>
      <c r="M145" s="43">
        <f t="shared" si="74"/>
        <v>62</v>
      </c>
      <c r="N145" s="5"/>
      <c r="O145" s="5"/>
    </row>
    <row r="146" spans="4:15" ht="15.75">
      <c r="D146" s="22" t="b">
        <f>AND($D$1=3,$D$7=1,'Simulazione 8.4'!$C$4&lt;=200,'Simulazione 8.4'!$C$4&gt;20)</f>
        <v>0</v>
      </c>
      <c r="E146" s="28" t="s">
        <v>8</v>
      </c>
      <c r="F146" s="42">
        <v>141</v>
      </c>
      <c r="G146" s="43">
        <f t="shared" si="71"/>
        <v>59</v>
      </c>
      <c r="H146" s="83">
        <f t="shared" si="72"/>
        <v>0</v>
      </c>
      <c r="I146" s="83">
        <f t="shared" si="73"/>
        <v>0</v>
      </c>
      <c r="J146" s="22"/>
      <c r="K146" s="28" t="s">
        <v>8</v>
      </c>
      <c r="L146" s="42">
        <v>136</v>
      </c>
      <c r="M146" s="43">
        <f t="shared" si="74"/>
        <v>54</v>
      </c>
      <c r="N146" s="5"/>
      <c r="O146" s="5"/>
    </row>
    <row r="147" spans="4:15" ht="15.75">
      <c r="D147" s="22" t="b">
        <f>AND($D$1=3,$D$7=1,'Simulazione 8.4'!$C$4&lt;=1000,'Simulazione 8.4'!$C$4&gt;200)</f>
        <v>0</v>
      </c>
      <c r="E147" s="28" t="s">
        <v>9</v>
      </c>
      <c r="F147" s="38">
        <v>118</v>
      </c>
      <c r="G147" s="39">
        <f t="shared" si="71"/>
        <v>36</v>
      </c>
      <c r="H147" s="83">
        <f t="shared" si="72"/>
        <v>0</v>
      </c>
      <c r="I147" s="83">
        <f t="shared" si="73"/>
        <v>0</v>
      </c>
      <c r="J147" s="22"/>
      <c r="K147" s="28" t="s">
        <v>9</v>
      </c>
      <c r="L147" s="38">
        <v>113</v>
      </c>
      <c r="M147" s="39">
        <f t="shared" si="74"/>
        <v>31</v>
      </c>
      <c r="N147" s="5"/>
      <c r="O147" s="5"/>
    </row>
    <row r="148" spans="4:15" ht="15.75">
      <c r="D148" s="22" t="b">
        <f>AND($D$1=3,$D$7=1,'Simulazione 8.4'!$C$4&lt;=5000,'Simulazione 8.4'!$C$4&gt;1000)</f>
        <v>0</v>
      </c>
      <c r="E148" s="28" t="s">
        <v>10</v>
      </c>
      <c r="F148" s="42">
        <v>110</v>
      </c>
      <c r="G148" s="43">
        <f t="shared" si="71"/>
        <v>28</v>
      </c>
      <c r="H148" s="83">
        <f t="shared" si="72"/>
        <v>0</v>
      </c>
      <c r="I148" s="83">
        <f t="shared" si="73"/>
        <v>0</v>
      </c>
      <c r="J148" s="22"/>
      <c r="K148" s="28" t="s">
        <v>10</v>
      </c>
      <c r="L148" s="42">
        <v>106</v>
      </c>
      <c r="M148" s="43">
        <f t="shared" si="74"/>
        <v>24</v>
      </c>
      <c r="N148" s="5"/>
      <c r="O148" s="5"/>
    </row>
    <row r="149" spans="4:15" ht="16.5" thickBot="1">
      <c r="D149" s="29" t="b">
        <f>AND($D$1=3,$D$7=1,'Simulazione 8.4'!$C$4&gt;=5000)</f>
        <v>0</v>
      </c>
      <c r="E149" s="30" t="s">
        <v>11</v>
      </c>
      <c r="F149" s="47">
        <v>104</v>
      </c>
      <c r="G149" s="48">
        <f t="shared" si="71"/>
        <v>22</v>
      </c>
      <c r="H149" s="83">
        <f t="shared" si="72"/>
        <v>0</v>
      </c>
      <c r="I149" s="83">
        <f t="shared" si="73"/>
        <v>0</v>
      </c>
      <c r="J149" s="29"/>
      <c r="K149" s="30" t="s">
        <v>11</v>
      </c>
      <c r="L149" s="47">
        <v>99</v>
      </c>
      <c r="M149" s="48">
        <f t="shared" si="74"/>
        <v>17</v>
      </c>
      <c r="N149" s="5"/>
      <c r="O149" s="5"/>
    </row>
    <row r="150" spans="4:15" ht="16.5" thickBot="1">
      <c r="D150" s="41"/>
      <c r="E150" s="41"/>
      <c r="F150" s="44"/>
      <c r="G150" s="44"/>
      <c r="H150" s="33">
        <f>IF($H$9=3,H144+H145+H146+H147+H148+H149,0)</f>
        <v>0</v>
      </c>
      <c r="I150" s="33">
        <f>IF($H$9=3,I144+I145+I146+I147+I148+I149,0)</f>
        <v>0</v>
      </c>
      <c r="J150" s="41"/>
      <c r="K150" s="44"/>
      <c r="L150" s="44"/>
      <c r="M150" s="44"/>
      <c r="N150" s="42"/>
      <c r="O150" s="42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62"/>
      <c r="E155" s="63"/>
      <c r="F155" s="64" t="s">
        <v>2</v>
      </c>
      <c r="G155" s="65" t="s">
        <v>3</v>
      </c>
      <c r="H155" s="40"/>
      <c r="I155" s="40"/>
      <c r="J155" s="62"/>
      <c r="K155" s="63"/>
      <c r="L155" s="64" t="s">
        <v>2</v>
      </c>
      <c r="M155" s="65" t="s">
        <v>3</v>
      </c>
      <c r="N155" s="38"/>
      <c r="O155" s="38"/>
    </row>
    <row r="156" spans="4:15" ht="15.75">
      <c r="D156" s="22" t="b">
        <f>AND($D$1=4,$D$7=1,'Simulazione 8.4'!$C$4&lt;=3,'Simulazione 8.4'!$C$4&gt;=1)</f>
        <v>0</v>
      </c>
      <c r="E156" s="28" t="s">
        <v>6</v>
      </c>
      <c r="F156" s="42">
        <v>144</v>
      </c>
      <c r="G156" s="43">
        <f t="shared" ref="G156:G161" si="75">F156-82</f>
        <v>62</v>
      </c>
      <c r="H156" s="83">
        <f t="shared" ref="H156:H161" si="76">IF(D156=TRUE,(F156+L156)/2,0)</f>
        <v>0</v>
      </c>
      <c r="I156" s="83">
        <f t="shared" ref="I156:I161" si="77">IF(D156=TRUE,(G156+M156)/2,0)</f>
        <v>0</v>
      </c>
      <c r="J156" s="22"/>
      <c r="K156" s="28" t="s">
        <v>6</v>
      </c>
      <c r="L156" s="42">
        <v>140</v>
      </c>
      <c r="M156" s="43">
        <f t="shared" ref="M156:M161" si="78">L156-82</f>
        <v>58</v>
      </c>
      <c r="N156" s="5"/>
      <c r="O156" s="5"/>
    </row>
    <row r="157" spans="4:15" ht="15.75">
      <c r="D157" s="22" t="b">
        <f>AND($D$1=4,$D$7=1,'Simulazione 8.4'!$C$4&lt;=20,'Simulazione 8.4'!$C$4&gt;3)</f>
        <v>0</v>
      </c>
      <c r="E157" s="28" t="s">
        <v>7</v>
      </c>
      <c r="F157" s="42">
        <v>137</v>
      </c>
      <c r="G157" s="43">
        <f t="shared" si="75"/>
        <v>55</v>
      </c>
      <c r="H157" s="83">
        <f t="shared" si="76"/>
        <v>0</v>
      </c>
      <c r="I157" s="83">
        <f t="shared" si="77"/>
        <v>0</v>
      </c>
      <c r="J157" s="22"/>
      <c r="K157" s="28" t="s">
        <v>7</v>
      </c>
      <c r="L157" s="42">
        <v>133</v>
      </c>
      <c r="M157" s="43">
        <f t="shared" si="78"/>
        <v>51</v>
      </c>
      <c r="N157" s="5"/>
      <c r="O157" s="5"/>
    </row>
    <row r="158" spans="4:15" ht="15.75">
      <c r="D158" s="22" t="b">
        <f>AND($D$1=4,$D$7=1,'Simulazione 8.4'!$C$4&lt;=200,'Simulazione 8.4'!$C$4&gt;20)</f>
        <v>0</v>
      </c>
      <c r="E158" s="28" t="s">
        <v>8</v>
      </c>
      <c r="F158" s="42">
        <v>131</v>
      </c>
      <c r="G158" s="43">
        <f t="shared" si="75"/>
        <v>49</v>
      </c>
      <c r="H158" s="83">
        <f t="shared" si="76"/>
        <v>0</v>
      </c>
      <c r="I158" s="83">
        <f t="shared" si="77"/>
        <v>0</v>
      </c>
      <c r="J158" s="22"/>
      <c r="K158" s="28" t="s">
        <v>8</v>
      </c>
      <c r="L158" s="42">
        <v>126</v>
      </c>
      <c r="M158" s="43">
        <f t="shared" si="78"/>
        <v>44</v>
      </c>
      <c r="N158" s="5"/>
      <c r="O158" s="5"/>
    </row>
    <row r="159" spans="4:15" ht="15.75">
      <c r="D159" s="22" t="b">
        <f>AND($D$1=4,$D$7=1,'Simulazione 8.4'!$C$4&lt;=1000,'Simulazione 8.4'!$C$4&gt;200)</f>
        <v>0</v>
      </c>
      <c r="E159" s="28" t="s">
        <v>9</v>
      </c>
      <c r="F159" s="38">
        <v>111</v>
      </c>
      <c r="G159" s="39">
        <f t="shared" si="75"/>
        <v>29</v>
      </c>
      <c r="H159" s="83">
        <f t="shared" si="76"/>
        <v>0</v>
      </c>
      <c r="I159" s="83">
        <f t="shared" si="77"/>
        <v>0</v>
      </c>
      <c r="J159" s="22"/>
      <c r="K159" s="28" t="s">
        <v>9</v>
      </c>
      <c r="L159" s="38">
        <v>107</v>
      </c>
      <c r="M159" s="39">
        <f t="shared" si="78"/>
        <v>25</v>
      </c>
      <c r="N159" s="5"/>
      <c r="O159" s="5"/>
    </row>
    <row r="160" spans="4:15" ht="15.75">
      <c r="D160" s="22" t="b">
        <f>AND($D$1=4,$D$7=1,'Simulazione 8.4'!$C$4&lt;=5000,'Simulazione 8.4'!$C$4&gt;1000)</f>
        <v>0</v>
      </c>
      <c r="E160" s="28" t="s">
        <v>10</v>
      </c>
      <c r="F160" s="42">
        <v>105</v>
      </c>
      <c r="G160" s="43">
        <f t="shared" si="75"/>
        <v>23</v>
      </c>
      <c r="H160" s="83">
        <f t="shared" si="76"/>
        <v>0</v>
      </c>
      <c r="I160" s="83">
        <f t="shared" si="77"/>
        <v>0</v>
      </c>
      <c r="J160" s="22"/>
      <c r="K160" s="28" t="s">
        <v>10</v>
      </c>
      <c r="L160" s="42">
        <v>101</v>
      </c>
      <c r="M160" s="43">
        <f t="shared" si="78"/>
        <v>19</v>
      </c>
      <c r="N160" s="5"/>
      <c r="O160" s="5"/>
    </row>
    <row r="161" spans="4:15" ht="16.5" thickBot="1">
      <c r="D161" s="29" t="b">
        <f>AND($D$1=4,$D$7=1,'Simulazione 8.4'!$C$4&gt;=5000)</f>
        <v>0</v>
      </c>
      <c r="E161" s="30" t="s">
        <v>11</v>
      </c>
      <c r="F161" s="47">
        <v>99</v>
      </c>
      <c r="G161" s="48">
        <f t="shared" si="75"/>
        <v>17</v>
      </c>
      <c r="H161" s="83">
        <f t="shared" si="76"/>
        <v>0</v>
      </c>
      <c r="I161" s="83">
        <f t="shared" si="77"/>
        <v>0</v>
      </c>
      <c r="J161" s="29"/>
      <c r="K161" s="30" t="s">
        <v>11</v>
      </c>
      <c r="L161" s="47">
        <v>95</v>
      </c>
      <c r="M161" s="48">
        <f t="shared" si="78"/>
        <v>13</v>
      </c>
      <c r="N161" s="5"/>
      <c r="O161" s="5"/>
    </row>
    <row r="162" spans="4:15" ht="16.5" thickBot="1">
      <c r="D162" s="41"/>
      <c r="E162" s="41"/>
      <c r="F162" s="44"/>
      <c r="G162" s="44"/>
      <c r="H162" s="33">
        <f>IF($H$9=3,H156+H157+H158+H159+H160+H161,0)</f>
        <v>0</v>
      </c>
      <c r="I162" s="33">
        <f>IF($H$9=3,I156+I157+I158+I159+I160+I161,0)</f>
        <v>0</v>
      </c>
      <c r="J162" s="41"/>
      <c r="K162" s="44"/>
      <c r="L162" s="44"/>
      <c r="M162" s="44"/>
      <c r="N162" s="42"/>
      <c r="O162" s="42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62"/>
      <c r="E169" s="63"/>
      <c r="F169" s="64" t="s">
        <v>2</v>
      </c>
      <c r="G169" s="65" t="s">
        <v>3</v>
      </c>
      <c r="H169" s="40"/>
      <c r="I169" s="40"/>
      <c r="J169" s="62"/>
      <c r="K169" s="63"/>
      <c r="L169" s="64" t="s">
        <v>2</v>
      </c>
      <c r="M169" s="65" t="s">
        <v>3</v>
      </c>
      <c r="N169" s="38"/>
      <c r="O169" s="38"/>
    </row>
    <row r="170" spans="4:15" ht="15.75">
      <c r="D170" s="22" t="b">
        <f>AND($D$1=5,$D$7=1,'Simulazione 8.4'!$C$4&lt;=3,'Simulazione 8.4'!$C$4&gt;=1)</f>
        <v>0</v>
      </c>
      <c r="E170" s="28" t="s">
        <v>6</v>
      </c>
      <c r="F170" s="42">
        <v>133</v>
      </c>
      <c r="G170" s="43">
        <f t="shared" ref="G170:G175" si="79">F170-82</f>
        <v>51</v>
      </c>
      <c r="H170" s="44">
        <f t="shared" ref="H170:H175" si="80">IF(D170=TRUE,F170,0)</f>
        <v>0</v>
      </c>
      <c r="I170" s="83">
        <f t="shared" ref="I170:I175" si="81">IF(D170=TRUE,(G170+M170)/2,0)</f>
        <v>0</v>
      </c>
      <c r="J170" s="22"/>
      <c r="K170" s="28" t="s">
        <v>6</v>
      </c>
      <c r="L170" s="42">
        <v>130</v>
      </c>
      <c r="M170" s="43">
        <f t="shared" ref="M170:M175" si="82">L170-82</f>
        <v>48</v>
      </c>
      <c r="N170" s="5"/>
      <c r="O170" s="5"/>
    </row>
    <row r="171" spans="4:15" ht="15.75">
      <c r="D171" s="22" t="b">
        <f>AND($D$1=5,$D$7=1,'Simulazione 8.4'!$C$4&lt;=20,'Simulazione 8.4'!$C$4&gt;3)</f>
        <v>0</v>
      </c>
      <c r="E171" s="28" t="s">
        <v>7</v>
      </c>
      <c r="F171" s="42">
        <v>128</v>
      </c>
      <c r="G171" s="43">
        <f t="shared" si="79"/>
        <v>46</v>
      </c>
      <c r="H171" s="44">
        <f t="shared" si="80"/>
        <v>0</v>
      </c>
      <c r="I171" s="83">
        <f t="shared" si="81"/>
        <v>0</v>
      </c>
      <c r="J171" s="22"/>
      <c r="K171" s="28" t="s">
        <v>7</v>
      </c>
      <c r="L171" s="42">
        <v>124</v>
      </c>
      <c r="M171" s="43">
        <f t="shared" si="82"/>
        <v>42</v>
      </c>
      <c r="N171" s="5"/>
      <c r="O171" s="5"/>
    </row>
    <row r="172" spans="4:15" ht="15.75">
      <c r="D172" s="22" t="b">
        <f>AND($D$1=5,$D$7=1,'Simulazione 8.4'!$C$4&lt;=200,'Simulazione 8.4'!$C$4&gt;20)</f>
        <v>0</v>
      </c>
      <c r="E172" s="28" t="s">
        <v>8</v>
      </c>
      <c r="F172" s="42">
        <v>122</v>
      </c>
      <c r="G172" s="43">
        <f t="shared" si="79"/>
        <v>40</v>
      </c>
      <c r="H172" s="44">
        <f t="shared" si="80"/>
        <v>0</v>
      </c>
      <c r="I172" s="83">
        <f t="shared" si="81"/>
        <v>0</v>
      </c>
      <c r="J172" s="22"/>
      <c r="K172" s="28" t="s">
        <v>8</v>
      </c>
      <c r="L172" s="42">
        <v>118</v>
      </c>
      <c r="M172" s="43">
        <f t="shared" si="82"/>
        <v>36</v>
      </c>
      <c r="N172" s="5"/>
      <c r="O172" s="5"/>
    </row>
    <row r="173" spans="4:15" ht="15.75">
      <c r="D173" s="22" t="b">
        <f>AND($D$1=5,$D$7=1,'Simulazione 8.4'!$C$4&lt;=1000,'Simulazione 8.4'!$C$4&gt;200)</f>
        <v>0</v>
      </c>
      <c r="E173" s="28" t="s">
        <v>9</v>
      </c>
      <c r="F173" s="38">
        <v>106</v>
      </c>
      <c r="G173" s="39">
        <f t="shared" si="79"/>
        <v>24</v>
      </c>
      <c r="H173" s="40">
        <f t="shared" si="80"/>
        <v>0</v>
      </c>
      <c r="I173" s="83">
        <f t="shared" si="81"/>
        <v>0</v>
      </c>
      <c r="J173" s="22"/>
      <c r="K173" s="28" t="s">
        <v>9</v>
      </c>
      <c r="L173" s="38">
        <v>102</v>
      </c>
      <c r="M173" s="39">
        <f t="shared" si="82"/>
        <v>20</v>
      </c>
      <c r="N173" s="5"/>
      <c r="O173" s="5"/>
    </row>
    <row r="174" spans="4:15" ht="15.75">
      <c r="D174" s="22" t="b">
        <f>AND($D$1=5,$D$7=1,'Simulazione 8.4'!$C$4&lt;=5000,'Simulazione 8.4'!$C$4&gt;1000)</f>
        <v>0</v>
      </c>
      <c r="E174" s="28" t="s">
        <v>10</v>
      </c>
      <c r="F174" s="42">
        <v>100</v>
      </c>
      <c r="G174" s="43">
        <f t="shared" si="79"/>
        <v>18</v>
      </c>
      <c r="H174" s="44">
        <f t="shared" si="80"/>
        <v>0</v>
      </c>
      <c r="I174" s="83">
        <f t="shared" si="81"/>
        <v>0</v>
      </c>
      <c r="J174" s="22"/>
      <c r="K174" s="28" t="s">
        <v>10</v>
      </c>
      <c r="L174" s="42">
        <v>97</v>
      </c>
      <c r="M174" s="43">
        <f t="shared" si="82"/>
        <v>15</v>
      </c>
      <c r="N174" s="5"/>
      <c r="O174" s="5"/>
    </row>
    <row r="175" spans="4:15" ht="16.5" thickBot="1">
      <c r="D175" s="29" t="b">
        <f>AND($D$1=5,$D$7=1,'Simulazione 8.4'!$C$4&gt;=5000)</f>
        <v>0</v>
      </c>
      <c r="E175" s="30" t="s">
        <v>11</v>
      </c>
      <c r="F175" s="47">
        <v>95</v>
      </c>
      <c r="G175" s="48">
        <f t="shared" si="79"/>
        <v>13</v>
      </c>
      <c r="H175" s="44">
        <f t="shared" si="80"/>
        <v>0</v>
      </c>
      <c r="I175" s="83">
        <f t="shared" si="81"/>
        <v>0</v>
      </c>
      <c r="J175" s="29"/>
      <c r="K175" s="30" t="s">
        <v>11</v>
      </c>
      <c r="L175" s="47">
        <v>92</v>
      </c>
      <c r="M175" s="48">
        <f t="shared" si="82"/>
        <v>10</v>
      </c>
      <c r="N175" s="5"/>
      <c r="O175" s="5"/>
    </row>
    <row r="176" spans="4:15" ht="16.5" thickBot="1">
      <c r="D176" s="41"/>
      <c r="E176" s="41"/>
      <c r="F176" s="44"/>
      <c r="G176" s="44"/>
      <c r="H176" s="33">
        <f>IF($H$9=3,H170+H171+H172+H173+H174+H175,0)</f>
        <v>0</v>
      </c>
      <c r="I176" s="33">
        <f>IF($H$9=3,I170+I171+I172+I173+I174+I175,0)</f>
        <v>0</v>
      </c>
      <c r="J176" s="44"/>
      <c r="K176" s="44"/>
      <c r="L176" s="44"/>
      <c r="M176" s="44"/>
      <c r="N176" s="42"/>
      <c r="O176" s="42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514" t="s">
        <v>118</v>
      </c>
      <c r="E180" s="514"/>
      <c r="F180" s="514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508" t="s">
        <v>4</v>
      </c>
      <c r="G183" s="509"/>
      <c r="H183" s="83"/>
      <c r="I183" s="83"/>
      <c r="J183" s="5"/>
      <c r="K183" s="2"/>
      <c r="L183" s="510"/>
      <c r="M183" s="510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83"/>
      <c r="I184" s="83"/>
      <c r="J184" s="5"/>
      <c r="K184" s="2"/>
      <c r="L184" s="5"/>
      <c r="M184" s="5"/>
      <c r="N184" s="2"/>
      <c r="O184" s="2"/>
    </row>
    <row r="185" spans="4:15">
      <c r="D185" s="22" t="b">
        <f>AND($D$1=1,'Simulazione 8.4'!$C$4&lt;=20,'Simulazione 8.4'!$C$4&gt;=1)</f>
        <v>1</v>
      </c>
      <c r="E185" s="28" t="s">
        <v>120</v>
      </c>
      <c r="F185" s="5">
        <v>288</v>
      </c>
      <c r="G185" s="26">
        <v>186</v>
      </c>
      <c r="H185" s="83">
        <f>IF(D185=TRUE,F185,0)</f>
        <v>288</v>
      </c>
      <c r="I185" s="83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8.4'!$C$4&lt;=200,'Simulazione 8.4'!$C$4&gt;20)</f>
        <v>0</v>
      </c>
      <c r="E186" s="28" t="s">
        <v>8</v>
      </c>
      <c r="F186" s="5">
        <v>276</v>
      </c>
      <c r="G186" s="26">
        <v>174</v>
      </c>
      <c r="H186" s="83">
        <f t="shared" ref="H186:H187" si="83">IF(D186=TRUE,F186,0)</f>
        <v>0</v>
      </c>
      <c r="I186" s="83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8.4'!$C$4&gt;200)</f>
        <v>0</v>
      </c>
      <c r="E187" s="30" t="s">
        <v>121</v>
      </c>
      <c r="F187" s="31">
        <v>255</v>
      </c>
      <c r="G187" s="32">
        <v>153</v>
      </c>
      <c r="H187" s="83">
        <f t="shared" si="83"/>
        <v>0</v>
      </c>
      <c r="I187" s="83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83"/>
      <c r="G188" s="83"/>
      <c r="H188" s="33">
        <f>IF($H$9=2,H185+H186+H187,0)</f>
        <v>0</v>
      </c>
      <c r="I188" s="33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508" t="s">
        <v>4</v>
      </c>
      <c r="G190" s="509"/>
      <c r="H190" s="83"/>
      <c r="I190" s="83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83"/>
      <c r="I191" s="83"/>
      <c r="J191" s="2"/>
      <c r="K191" s="2"/>
      <c r="L191" s="2"/>
      <c r="M191" s="2"/>
      <c r="N191" s="2"/>
      <c r="O191" s="2"/>
    </row>
    <row r="192" spans="4:15">
      <c r="D192" s="22" t="b">
        <f>AND($D$1=2,'Simulazione 8.4'!$C$4&lt;=20,'Simulazione 8.4'!$C$4&gt;=1)</f>
        <v>0</v>
      </c>
      <c r="E192" s="28" t="s">
        <v>120</v>
      </c>
      <c r="F192" s="5">
        <v>242</v>
      </c>
      <c r="G192" s="26">
        <v>160</v>
      </c>
      <c r="H192" s="83">
        <f t="shared" ref="H192:H194" si="84">IF(D192=TRUE,F192,0)</f>
        <v>0</v>
      </c>
      <c r="I192" s="83">
        <f t="shared" ref="I192:I194" si="85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8.4'!$C$4&lt;=200,'Simulazione 8.4'!$C$4&gt;20)</f>
        <v>0</v>
      </c>
      <c r="E193" s="28" t="s">
        <v>8</v>
      </c>
      <c r="F193" s="5">
        <v>231</v>
      </c>
      <c r="G193" s="26">
        <v>149</v>
      </c>
      <c r="H193" s="83">
        <f t="shared" si="84"/>
        <v>0</v>
      </c>
      <c r="I193" s="83">
        <f t="shared" si="85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8.4'!$C$4&gt;200)</f>
        <v>0</v>
      </c>
      <c r="E194" s="30" t="s">
        <v>121</v>
      </c>
      <c r="F194" s="31">
        <v>217</v>
      </c>
      <c r="G194" s="32">
        <v>135</v>
      </c>
      <c r="H194" s="83">
        <f t="shared" si="84"/>
        <v>0</v>
      </c>
      <c r="I194" s="83">
        <f t="shared" si="85"/>
        <v>0</v>
      </c>
      <c r="J194" s="2"/>
      <c r="K194" s="2"/>
      <c r="L194" s="2"/>
      <c r="M194" s="2"/>
      <c r="N194" s="2"/>
      <c r="O194" s="2"/>
    </row>
    <row r="195" spans="4:15" ht="15.75" thickBot="1">
      <c r="F195" s="83"/>
      <c r="G195" s="83"/>
      <c r="H195" s="33">
        <f>IF($H$9=2,H192+H193+H194,0)</f>
        <v>0</v>
      </c>
      <c r="I195" s="33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508" t="s">
        <v>4</v>
      </c>
      <c r="G198" s="509"/>
      <c r="H198" s="83"/>
      <c r="I198" s="83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83"/>
      <c r="I199" s="83"/>
    </row>
    <row r="200" spans="4:15">
      <c r="D200" s="22" t="b">
        <f>AND($D$1=3,'Simulazione 8.4'!$C$4&lt;=20,'Simulazione 8.4'!$C$4&gt;=1)</f>
        <v>0</v>
      </c>
      <c r="E200" s="28" t="s">
        <v>120</v>
      </c>
      <c r="F200" s="5">
        <v>218</v>
      </c>
      <c r="G200" s="26">
        <v>144</v>
      </c>
      <c r="H200" s="83">
        <f t="shared" ref="H200:H202" si="86">IF(D200=TRUE,F200,0)</f>
        <v>0</v>
      </c>
      <c r="I200" s="83">
        <f t="shared" ref="I200:I201" si="87">IF(D200=TRUE,G200,0)</f>
        <v>0</v>
      </c>
    </row>
    <row r="201" spans="4:15">
      <c r="D201" s="22" t="b">
        <f>AND($D$1=3,'Simulazione 8.4'!$C$4&lt;=200,'Simulazione 8.4'!$C$4&gt;20)</f>
        <v>0</v>
      </c>
      <c r="E201" s="28" t="s">
        <v>8</v>
      </c>
      <c r="F201" s="5">
        <v>208</v>
      </c>
      <c r="G201" s="26">
        <v>134</v>
      </c>
      <c r="H201" s="83">
        <f t="shared" si="86"/>
        <v>0</v>
      </c>
      <c r="I201" s="83">
        <f t="shared" si="87"/>
        <v>0</v>
      </c>
    </row>
    <row r="202" spans="4:15" ht="15.75" thickBot="1">
      <c r="D202" s="29" t="b">
        <f>AND($D$1=3,'Simulazione 8.4'!$C$4&gt;200)</f>
        <v>0</v>
      </c>
      <c r="E202" s="30" t="s">
        <v>121</v>
      </c>
      <c r="F202" s="31">
        <v>195</v>
      </c>
      <c r="G202" s="32">
        <v>121</v>
      </c>
      <c r="H202" s="83">
        <f t="shared" si="86"/>
        <v>0</v>
      </c>
      <c r="I202" s="83">
        <f>IF(D202=TRUE,(G202+M202)/2,0)</f>
        <v>0</v>
      </c>
    </row>
    <row r="203" spans="4:15" ht="15.75" thickBot="1">
      <c r="F203" s="83"/>
      <c r="G203" s="83"/>
      <c r="H203" s="33">
        <f>IF($H$9=2,H200+H201+H202,0)</f>
        <v>0</v>
      </c>
      <c r="I203" s="33">
        <f>IF($H$9=2,I200+I201+I202,0)</f>
        <v>0</v>
      </c>
    </row>
    <row r="205" spans="4:15" ht="15.75" thickBot="1"/>
    <row r="206" spans="4:15">
      <c r="D206" s="23"/>
      <c r="E206" s="15"/>
      <c r="F206" s="508" t="s">
        <v>4</v>
      </c>
      <c r="G206" s="509"/>
      <c r="H206" s="83"/>
      <c r="I206" s="83"/>
    </row>
    <row r="207" spans="4:15">
      <c r="D207" s="22"/>
      <c r="E207" s="2"/>
      <c r="F207" s="5" t="s">
        <v>2</v>
      </c>
      <c r="G207" s="26" t="s">
        <v>3</v>
      </c>
      <c r="H207" s="83"/>
      <c r="I207" s="83"/>
    </row>
    <row r="208" spans="4:15">
      <c r="D208" s="22" t="b">
        <f>AND($D$1=4,'Simulazione 8.4'!$C$4&lt;=20,'Simulazione 8.4'!$C$4&gt;=1)</f>
        <v>0</v>
      </c>
      <c r="E208" s="28" t="s">
        <v>120</v>
      </c>
      <c r="F208" s="5">
        <v>196</v>
      </c>
      <c r="G208" s="26">
        <v>130</v>
      </c>
      <c r="H208" s="83">
        <f t="shared" ref="H208:H210" si="88">IF(D208=TRUE,F208,0)</f>
        <v>0</v>
      </c>
      <c r="I208" s="83">
        <f t="shared" ref="I208:I210" si="89">IF(D208=TRUE,G208,0)</f>
        <v>0</v>
      </c>
    </row>
    <row r="209" spans="2:28">
      <c r="D209" s="22" t="b">
        <f>AND($D$1=4,'Simulazione 8.4'!$C$4&lt;=200,'Simulazione 8.4'!$C$4&gt;20)</f>
        <v>0</v>
      </c>
      <c r="E209" s="28" t="s">
        <v>8</v>
      </c>
      <c r="F209" s="5">
        <v>187</v>
      </c>
      <c r="G209" s="26">
        <v>121</v>
      </c>
      <c r="H209" s="83">
        <f t="shared" si="88"/>
        <v>0</v>
      </c>
      <c r="I209" s="83">
        <f t="shared" si="89"/>
        <v>0</v>
      </c>
    </row>
    <row r="210" spans="2:28" ht="15.75" thickBot="1">
      <c r="D210" s="29" t="b">
        <f>AND($D$1=4,'Simulazione 8.4'!$C$4&gt;200)</f>
        <v>0</v>
      </c>
      <c r="E210" s="30" t="s">
        <v>121</v>
      </c>
      <c r="F210" s="31">
        <v>176</v>
      </c>
      <c r="G210" s="32">
        <v>109</v>
      </c>
      <c r="H210" s="83">
        <f t="shared" si="88"/>
        <v>0</v>
      </c>
      <c r="I210" s="83">
        <f t="shared" si="89"/>
        <v>0</v>
      </c>
    </row>
    <row r="211" spans="2:28" ht="15.75" thickBot="1">
      <c r="F211" s="83"/>
      <c r="G211" s="83"/>
      <c r="H211" s="33">
        <f>IF($H$9=2,H208+H209+H210,0)</f>
        <v>0</v>
      </c>
      <c r="I211" s="33">
        <f>IF($H$9=2,I208+I209+I210,0)</f>
        <v>0</v>
      </c>
    </row>
    <row r="213" spans="2:28" ht="15.75" thickBot="1"/>
    <row r="214" spans="2:28">
      <c r="D214" s="23"/>
      <c r="E214" s="15"/>
      <c r="F214" s="508" t="s">
        <v>4</v>
      </c>
      <c r="G214" s="509"/>
      <c r="H214" s="83"/>
      <c r="I214" s="83"/>
    </row>
    <row r="215" spans="2:28">
      <c r="D215" s="22"/>
      <c r="E215" s="2"/>
      <c r="F215" s="5" t="s">
        <v>2</v>
      </c>
      <c r="G215" s="26" t="s">
        <v>3</v>
      </c>
      <c r="H215" s="83"/>
      <c r="I215" s="83"/>
    </row>
    <row r="216" spans="2:28">
      <c r="D216" s="22" t="b">
        <f>AND($D$1=5,'Simulazione 8.4'!$C$4&lt;=20,'Simulazione 8.4'!$C$4&gt;=1)</f>
        <v>0</v>
      </c>
      <c r="E216" s="28" t="s">
        <v>120</v>
      </c>
      <c r="F216" s="5">
        <v>176</v>
      </c>
      <c r="G216" s="26">
        <v>117</v>
      </c>
      <c r="H216" s="83">
        <f t="shared" ref="H216:H218" si="90">IF(D216=TRUE,F216,0)</f>
        <v>0</v>
      </c>
      <c r="I216" s="83">
        <f t="shared" ref="I216:I218" si="91">IF(D216=TRUE,G216,0)</f>
        <v>0</v>
      </c>
    </row>
    <row r="217" spans="2:28">
      <c r="D217" s="22" t="b">
        <f>AND($D$1=5,'Simulazione 8.4'!$C$4&lt;=200,'Simulazione 8.4'!$C$4&gt;20)</f>
        <v>0</v>
      </c>
      <c r="E217" s="28" t="s">
        <v>8</v>
      </c>
      <c r="F217" s="5">
        <v>169</v>
      </c>
      <c r="G217" s="26">
        <v>109</v>
      </c>
      <c r="H217" s="83">
        <f t="shared" si="90"/>
        <v>0</v>
      </c>
      <c r="I217" s="83">
        <f t="shared" si="91"/>
        <v>0</v>
      </c>
    </row>
    <row r="218" spans="2:28" ht="15.75" thickBot="1">
      <c r="D218" s="29" t="b">
        <f>AND($D$1=5,'Simulazione 8.4'!$C$4&gt;200)</f>
        <v>0</v>
      </c>
      <c r="E218" s="30" t="s">
        <v>121</v>
      </c>
      <c r="F218" s="31">
        <v>158</v>
      </c>
      <c r="G218" s="32">
        <v>98</v>
      </c>
      <c r="H218" s="83">
        <f t="shared" si="90"/>
        <v>0</v>
      </c>
      <c r="I218" s="83">
        <f t="shared" si="91"/>
        <v>0</v>
      </c>
    </row>
    <row r="219" spans="2:28" ht="15.75" thickBot="1">
      <c r="F219" s="83"/>
      <c r="G219" s="83"/>
      <c r="H219" s="33">
        <f>IF($H$9=2,H216+H217+H218,0)</f>
        <v>0</v>
      </c>
      <c r="I219" s="33">
        <f>IF($H$9=2,I216+I217+I218,0)</f>
        <v>0</v>
      </c>
    </row>
    <row r="221" spans="2:28">
      <c r="B221" s="6" t="s">
        <v>173</v>
      </c>
    </row>
    <row r="222" spans="2:28">
      <c r="W222" s="78">
        <v>20</v>
      </c>
      <c r="X222" s="78">
        <v>21</v>
      </c>
      <c r="Y222" s="78">
        <v>22</v>
      </c>
      <c r="Z222" s="78">
        <v>23</v>
      </c>
      <c r="AA222" s="78">
        <v>24</v>
      </c>
      <c r="AB222" s="78">
        <v>25</v>
      </c>
    </row>
    <row r="223" spans="2:28">
      <c r="B223" s="6" t="s">
        <v>172</v>
      </c>
      <c r="D223" s="125">
        <f>'Simulazione 8.4'!E69</f>
        <v>3600</v>
      </c>
      <c r="E223" s="78">
        <f>'Simulazione 8.4'!F69</f>
        <v>3567.6</v>
      </c>
      <c r="F223" s="78">
        <f>'Simulazione 8.4'!G69</f>
        <v>3535.4915999999998</v>
      </c>
      <c r="G223" s="78">
        <f>'Simulazione 8.4'!H69</f>
        <v>3503.6721755999993</v>
      </c>
      <c r="H223" s="78">
        <f>'Simulazione 8.4'!I69</f>
        <v>3472.1391260195987</v>
      </c>
      <c r="I223" s="78">
        <f>'Simulazione 8.4'!J69</f>
        <v>3440.8898738854218</v>
      </c>
      <c r="J223" s="78">
        <f>'Simulazione 8.4'!K69</f>
        <v>3409.921865020453</v>
      </c>
      <c r="K223" s="78">
        <f>'Simulazione 8.4'!L69</f>
        <v>3379.2325682352684</v>
      </c>
      <c r="L223" s="78">
        <f>'Simulazione 8.4'!M69</f>
        <v>3348.8194751211508</v>
      </c>
      <c r="M223" s="78">
        <f>'Simulazione 8.4'!N69</f>
        <v>3318.6800998450603</v>
      </c>
      <c r="N223" s="78">
        <f>'Simulazione 8.4'!O69</f>
        <v>3288.8119789464545</v>
      </c>
      <c r="O223" s="78">
        <f>'Simulazione 8.4'!P69</f>
        <v>3259.2126711359365</v>
      </c>
      <c r="P223" s="78">
        <f>'Simulazione 8.4'!Q69</f>
        <v>3229.8797570957126</v>
      </c>
      <c r="Q223" s="78">
        <f>'Simulazione 8.4'!R69</f>
        <v>3200.8108392818513</v>
      </c>
      <c r="R223" s="78">
        <f>'Simulazione 8.4'!S69</f>
        <v>3172.0035417283143</v>
      </c>
      <c r="S223" s="78">
        <f>'Simulazione 8.4'!T69</f>
        <v>3143.4555098527594</v>
      </c>
      <c r="T223" s="78">
        <f>'Simulazione 8.4'!U69</f>
        <v>3115.1644102640844</v>
      </c>
      <c r="U223" s="78">
        <f>'Simulazione 8.4'!V69</f>
        <v>3087.1279305717076</v>
      </c>
      <c r="V223" s="78">
        <f>'Simulazione 8.4'!W69</f>
        <v>3059.3437791965621</v>
      </c>
      <c r="W223" s="78">
        <f>'Simulazione 8.4'!X69</f>
        <v>3031.8096851837927</v>
      </c>
      <c r="X223" s="78">
        <f>'Simulazione 8.4'!Y69</f>
        <v>3004.5233980171383</v>
      </c>
      <c r="Y223" s="78">
        <f>'Simulazione 8.4'!Z69</f>
        <v>2977.4826874349837</v>
      </c>
      <c r="Z223" s="78">
        <f>'Simulazione 8.4'!AA69</f>
        <v>2950.6853432480689</v>
      </c>
      <c r="AA223" s="78">
        <f>'Simulazione 8.4'!AB69</f>
        <v>2924.129175158836</v>
      </c>
      <c r="AB223" s="78">
        <f>'Simulazione 8.4'!AC69</f>
        <v>2897.8120125824062</v>
      </c>
    </row>
    <row r="224" spans="2:28">
      <c r="B224" s="6" t="s">
        <v>174</v>
      </c>
      <c r="D224" s="116">
        <f>'Simulazione 8.4'!C36</f>
        <v>2500</v>
      </c>
      <c r="E224" s="78">
        <f>D224+(Calcoli!D224/100*'Simulazione 8.4'!$C$53)</f>
        <v>2562.5</v>
      </c>
      <c r="F224" s="78">
        <f>E224+(Calcoli!E224/100*'Simulazione 8.4'!$C$53)</f>
        <v>2626.5625</v>
      </c>
      <c r="G224" s="78">
        <f>F224+(Calcoli!F224/100*'Simulazione 8.4'!$C$53)</f>
        <v>2692.2265625</v>
      </c>
      <c r="H224" s="78">
        <f>G224+(Calcoli!G224/100*'Simulazione 8.4'!$C$53)</f>
        <v>2759.5322265625</v>
      </c>
      <c r="I224" s="78">
        <f>H224+(Calcoli!H224/100*'Simulazione 8.4'!$C$53)</f>
        <v>2828.5205322265624</v>
      </c>
      <c r="J224" s="78">
        <f>I224+(Calcoli!I224/100*'Simulazione 8.4'!$C$53)</f>
        <v>2899.2335455322263</v>
      </c>
      <c r="K224" s="78">
        <f>J224+(Calcoli!J224/100*'Simulazione 8.4'!$C$53)</f>
        <v>2971.714384170532</v>
      </c>
      <c r="L224" s="78">
        <f>K224+(Calcoli!K224/100*'Simulazione 8.4'!$C$53)</f>
        <v>3046.0072437747954</v>
      </c>
      <c r="M224" s="78">
        <f>L224+(Calcoli!L224/100*'Simulazione 8.4'!$C$53)</f>
        <v>3122.1574248691654</v>
      </c>
      <c r="N224" s="78">
        <f>M224+(Calcoli!M224/100*'Simulazione 8.4'!$C$53)</f>
        <v>3200.2113604908945</v>
      </c>
      <c r="O224" s="78">
        <f>N224+(Calcoli!N224/100*'Simulazione 8.4'!$C$53)</f>
        <v>3280.2166445031671</v>
      </c>
      <c r="P224" s="78">
        <f>O224+(Calcoli!O224/100*'Simulazione 8.4'!$C$53)</f>
        <v>3362.2220606157462</v>
      </c>
      <c r="Q224" s="78">
        <f>P224+(Calcoli!P224/100*'Simulazione 8.4'!$C$53)</f>
        <v>3446.2776121311399</v>
      </c>
      <c r="R224" s="78">
        <f>Q224+(Calcoli!Q224/100*'Simulazione 8.4'!$C$53)</f>
        <v>3532.4345524344185</v>
      </c>
      <c r="S224" s="78">
        <f>R224+(Calcoli!R224/100*'Simulazione 8.4'!$C$53)</f>
        <v>3620.7454162452791</v>
      </c>
      <c r="T224" s="78">
        <f>S224+(Calcoli!S224/100*'Simulazione 8.4'!$C$53)</f>
        <v>3711.2640516514111</v>
      </c>
      <c r="U224" s="78">
        <f>T224+(Calcoli!T224/100*'Simulazione 8.4'!$C$53)</f>
        <v>3804.0456529426965</v>
      </c>
      <c r="V224" s="78">
        <f>U224+(Calcoli!U224/100*'Simulazione 8.4'!$C$53)</f>
        <v>3899.1467942662639</v>
      </c>
      <c r="W224" s="78">
        <f>V224+(Calcoli!V224/100*'Simulazione 8.4'!$C$53)</f>
        <v>3996.6254641229207</v>
      </c>
      <c r="X224" s="78">
        <f>W224+(Calcoli!W224/100*'Simulazione 8.4'!$C$53)</f>
        <v>4096.5411007259936</v>
      </c>
      <c r="Y224" s="78">
        <f>X224+(Calcoli!X224/100*'Simulazione 8.4'!$C$53)</f>
        <v>4198.9546282441434</v>
      </c>
      <c r="Z224" s="78">
        <f>Y224+(Calcoli!Y224/100*'Simulazione 8.4'!$C$53)</f>
        <v>4303.9284939502468</v>
      </c>
      <c r="AA224" s="78">
        <f>Z224+(Calcoli!Z224/100*'Simulazione 8.4'!$C$53)</f>
        <v>4411.5267062990033</v>
      </c>
      <c r="AB224" s="78">
        <f>AA224+(Calcoli!AA224/100*'Simulazione 8.4'!$C$53)</f>
        <v>4521.8148739564786</v>
      </c>
    </row>
    <row r="225" spans="2:41">
      <c r="B225" s="6" t="s">
        <v>161</v>
      </c>
      <c r="D225" s="78">
        <f>IF(D224&gt;D223,D223/100*$S$41,D224/100*$S$41)</f>
        <v>1250</v>
      </c>
      <c r="E225" s="78">
        <f t="shared" ref="E225:AB225" si="92">IF(E224&gt;E223,E223/100*$S$41,E224/100*$S$41)</f>
        <v>1281.25</v>
      </c>
      <c r="F225" s="78">
        <f t="shared" si="92"/>
        <v>1313.28125</v>
      </c>
      <c r="G225" s="78">
        <f t="shared" si="92"/>
        <v>1346.11328125</v>
      </c>
      <c r="H225" s="78">
        <f t="shared" si="92"/>
        <v>1379.76611328125</v>
      </c>
      <c r="I225" s="78">
        <f t="shared" si="92"/>
        <v>1414.2602661132812</v>
      </c>
      <c r="J225" s="78">
        <f t="shared" si="92"/>
        <v>1449.6167727661132</v>
      </c>
      <c r="K225" s="78">
        <f t="shared" si="92"/>
        <v>1485.857192085266</v>
      </c>
      <c r="L225" s="78">
        <f t="shared" si="92"/>
        <v>1523.0036218873977</v>
      </c>
      <c r="M225" s="78">
        <f t="shared" si="92"/>
        <v>1561.0787124345827</v>
      </c>
      <c r="N225" s="78">
        <f t="shared" si="92"/>
        <v>1600.105680245447</v>
      </c>
      <c r="O225" s="78">
        <f t="shared" si="92"/>
        <v>1629.6063355679682</v>
      </c>
      <c r="P225" s="78">
        <f t="shared" si="92"/>
        <v>1614.9398785478563</v>
      </c>
      <c r="Q225" s="78">
        <f t="shared" si="92"/>
        <v>1600.4054196409256</v>
      </c>
      <c r="R225" s="78">
        <f t="shared" si="92"/>
        <v>1586.0017708641572</v>
      </c>
      <c r="S225" s="78">
        <f t="shared" si="92"/>
        <v>1571.7277549263797</v>
      </c>
      <c r="T225" s="78">
        <f t="shared" si="92"/>
        <v>1557.5822051320422</v>
      </c>
      <c r="U225" s="78">
        <f t="shared" si="92"/>
        <v>1543.5639652858538</v>
      </c>
      <c r="V225" s="78">
        <f t="shared" si="92"/>
        <v>1529.671889598281</v>
      </c>
      <c r="W225" s="78">
        <f t="shared" si="92"/>
        <v>1515.9048425918963</v>
      </c>
      <c r="X225" s="78">
        <f t="shared" si="92"/>
        <v>1502.2616990085692</v>
      </c>
      <c r="Y225" s="78">
        <f t="shared" si="92"/>
        <v>1488.7413437174919</v>
      </c>
      <c r="Z225" s="78">
        <f t="shared" si="92"/>
        <v>1475.3426716240344</v>
      </c>
      <c r="AA225" s="78">
        <f t="shared" si="92"/>
        <v>1462.064587579418</v>
      </c>
      <c r="AB225" s="78">
        <f t="shared" si="92"/>
        <v>1448.9060062912031</v>
      </c>
    </row>
    <row r="226" spans="2:41">
      <c r="B226" s="6" t="s">
        <v>177</v>
      </c>
      <c r="D226" s="78">
        <f t="shared" ref="D226:AB226" si="93">IF((D224-D225)&lt;=(D223-D225),D224-D225,D223-D225)</f>
        <v>1250</v>
      </c>
      <c r="E226" s="78">
        <f t="shared" si="93"/>
        <v>1281.25</v>
      </c>
      <c r="F226" s="78">
        <f t="shared" si="93"/>
        <v>1313.28125</v>
      </c>
      <c r="G226" s="78">
        <f t="shared" si="93"/>
        <v>1346.11328125</v>
      </c>
      <c r="H226" s="78">
        <f t="shared" si="93"/>
        <v>1379.76611328125</v>
      </c>
      <c r="I226" s="78">
        <f t="shared" si="93"/>
        <v>1414.2602661132812</v>
      </c>
      <c r="J226" s="78">
        <f t="shared" si="93"/>
        <v>1449.6167727661132</v>
      </c>
      <c r="K226" s="78">
        <f t="shared" si="93"/>
        <v>1485.857192085266</v>
      </c>
      <c r="L226" s="78">
        <f t="shared" si="93"/>
        <v>1523.0036218873977</v>
      </c>
      <c r="M226" s="78">
        <f t="shared" si="93"/>
        <v>1561.0787124345827</v>
      </c>
      <c r="N226" s="78">
        <f t="shared" si="93"/>
        <v>1600.1056802454475</v>
      </c>
      <c r="O226" s="78">
        <f t="shared" si="93"/>
        <v>1629.6063355679682</v>
      </c>
      <c r="P226" s="78">
        <f t="shared" si="93"/>
        <v>1614.9398785478563</v>
      </c>
      <c r="Q226" s="78">
        <f t="shared" si="93"/>
        <v>1600.4054196409256</v>
      </c>
      <c r="R226" s="78">
        <f t="shared" si="93"/>
        <v>1586.0017708641572</v>
      </c>
      <c r="S226" s="78">
        <f t="shared" si="93"/>
        <v>1571.7277549263797</v>
      </c>
      <c r="T226" s="78">
        <f t="shared" si="93"/>
        <v>1557.5822051320422</v>
      </c>
      <c r="U226" s="78">
        <f t="shared" si="93"/>
        <v>1543.5639652858538</v>
      </c>
      <c r="V226" s="78">
        <f t="shared" si="93"/>
        <v>1529.671889598281</v>
      </c>
      <c r="W226" s="78">
        <f t="shared" si="93"/>
        <v>1515.9048425918963</v>
      </c>
      <c r="X226" s="78">
        <f t="shared" si="93"/>
        <v>1502.2616990085692</v>
      </c>
      <c r="Y226" s="78">
        <f t="shared" si="93"/>
        <v>1488.7413437174919</v>
      </c>
      <c r="Z226" s="78">
        <f t="shared" si="93"/>
        <v>1475.3426716240344</v>
      </c>
      <c r="AA226" s="78">
        <f t="shared" si="93"/>
        <v>1462.064587579418</v>
      </c>
      <c r="AB226" s="78">
        <f t="shared" si="93"/>
        <v>1448.9060062912031</v>
      </c>
    </row>
    <row r="227" spans="2:41">
      <c r="B227" s="6" t="s">
        <v>179</v>
      </c>
      <c r="D227" s="78">
        <f>IF(D226&gt;=0,D226,0)</f>
        <v>1250</v>
      </c>
      <c r="E227" s="78">
        <f t="shared" ref="E227:AB227" si="94">IF(E226&gt;=0,E226,0)</f>
        <v>1281.25</v>
      </c>
      <c r="F227" s="78">
        <f t="shared" si="94"/>
        <v>1313.28125</v>
      </c>
      <c r="G227" s="78">
        <f t="shared" si="94"/>
        <v>1346.11328125</v>
      </c>
      <c r="H227" s="78">
        <f t="shared" si="94"/>
        <v>1379.76611328125</v>
      </c>
      <c r="I227" s="78">
        <f t="shared" si="94"/>
        <v>1414.2602661132812</v>
      </c>
      <c r="J227" s="78">
        <f t="shared" si="94"/>
        <v>1449.6167727661132</v>
      </c>
      <c r="K227" s="78">
        <f t="shared" si="94"/>
        <v>1485.857192085266</v>
      </c>
      <c r="L227" s="78">
        <f t="shared" si="94"/>
        <v>1523.0036218873977</v>
      </c>
      <c r="M227" s="78">
        <f t="shared" si="94"/>
        <v>1561.0787124345827</v>
      </c>
      <c r="N227" s="78">
        <f t="shared" si="94"/>
        <v>1600.1056802454475</v>
      </c>
      <c r="O227" s="78">
        <f t="shared" si="94"/>
        <v>1629.6063355679682</v>
      </c>
      <c r="P227" s="78">
        <f t="shared" si="94"/>
        <v>1614.9398785478563</v>
      </c>
      <c r="Q227" s="78">
        <f t="shared" si="94"/>
        <v>1600.4054196409256</v>
      </c>
      <c r="R227" s="78">
        <f t="shared" si="94"/>
        <v>1586.0017708641572</v>
      </c>
      <c r="S227" s="78">
        <f t="shared" si="94"/>
        <v>1571.7277549263797</v>
      </c>
      <c r="T227" s="78">
        <f t="shared" si="94"/>
        <v>1557.5822051320422</v>
      </c>
      <c r="U227" s="78">
        <f t="shared" si="94"/>
        <v>1543.5639652858538</v>
      </c>
      <c r="V227" s="78">
        <f t="shared" si="94"/>
        <v>1529.671889598281</v>
      </c>
      <c r="W227" s="78">
        <f t="shared" si="94"/>
        <v>1515.9048425918963</v>
      </c>
      <c r="X227" s="78">
        <f t="shared" si="94"/>
        <v>1502.2616990085692</v>
      </c>
      <c r="Y227" s="78">
        <f t="shared" si="94"/>
        <v>1488.7413437174919</v>
      </c>
      <c r="Z227" s="78">
        <f t="shared" si="94"/>
        <v>1475.3426716240344</v>
      </c>
      <c r="AA227" s="78">
        <f t="shared" si="94"/>
        <v>1462.064587579418</v>
      </c>
      <c r="AB227" s="78">
        <f t="shared" si="94"/>
        <v>1448.9060062912031</v>
      </c>
    </row>
    <row r="228" spans="2:41">
      <c r="B228" s="6" t="s">
        <v>178</v>
      </c>
      <c r="D228" s="78">
        <f t="shared" ref="D228:AB228" si="95">D223-D225-D226</f>
        <v>1100</v>
      </c>
      <c r="E228" s="78">
        <f t="shared" si="95"/>
        <v>1005.0999999999999</v>
      </c>
      <c r="F228" s="78">
        <f t="shared" si="95"/>
        <v>908.92909999999983</v>
      </c>
      <c r="G228" s="78">
        <f t="shared" si="95"/>
        <v>811.44561309999926</v>
      </c>
      <c r="H228" s="78">
        <f t="shared" si="95"/>
        <v>712.60689945709873</v>
      </c>
      <c r="I228" s="78">
        <f t="shared" si="95"/>
        <v>612.36934165885941</v>
      </c>
      <c r="J228" s="78">
        <f t="shared" si="95"/>
        <v>510.68831948822663</v>
      </c>
      <c r="K228" s="78">
        <f t="shared" si="95"/>
        <v>407.51818406473649</v>
      </c>
      <c r="L228" s="78">
        <f t="shared" si="95"/>
        <v>302.81223134635547</v>
      </c>
      <c r="M228" s="78">
        <f t="shared" si="95"/>
        <v>196.52267497589492</v>
      </c>
      <c r="N228" s="78">
        <f t="shared" si="95"/>
        <v>88.600618455559925</v>
      </c>
      <c r="O228" s="78">
        <f t="shared" si="95"/>
        <v>0</v>
      </c>
      <c r="P228" s="78">
        <f t="shared" si="95"/>
        <v>0</v>
      </c>
      <c r="Q228" s="78">
        <f t="shared" si="95"/>
        <v>0</v>
      </c>
      <c r="R228" s="78">
        <f t="shared" si="95"/>
        <v>0</v>
      </c>
      <c r="S228" s="78">
        <f t="shared" si="95"/>
        <v>0</v>
      </c>
      <c r="T228" s="78">
        <f t="shared" si="95"/>
        <v>0</v>
      </c>
      <c r="U228" s="78">
        <f t="shared" si="95"/>
        <v>0</v>
      </c>
      <c r="V228" s="78">
        <f t="shared" si="95"/>
        <v>0</v>
      </c>
      <c r="W228" s="78">
        <f t="shared" si="95"/>
        <v>0</v>
      </c>
      <c r="X228" s="78">
        <f t="shared" si="95"/>
        <v>0</v>
      </c>
      <c r="Y228" s="78">
        <f t="shared" si="95"/>
        <v>0</v>
      </c>
      <c r="Z228" s="78">
        <f t="shared" si="95"/>
        <v>0</v>
      </c>
      <c r="AA228" s="78">
        <f t="shared" si="95"/>
        <v>0</v>
      </c>
      <c r="AB228" s="78">
        <f t="shared" si="95"/>
        <v>0</v>
      </c>
    </row>
    <row r="229" spans="2:41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2:41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2:41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2:41">
      <c r="D232" s="6" t="s">
        <v>150</v>
      </c>
    </row>
    <row r="233" spans="2:41">
      <c r="D233" s="6" t="b">
        <f>AND(D1=6,Q49=1)</f>
        <v>0</v>
      </c>
    </row>
    <row r="235" spans="2:41">
      <c r="D235" s="6" t="s">
        <v>151</v>
      </c>
    </row>
    <row r="236" spans="2:41">
      <c r="D236" s="6" t="b">
        <f>AND(D1=6,Q49=2)</f>
        <v>0</v>
      </c>
    </row>
    <row r="238" spans="2:41">
      <c r="B238" s="6" t="s">
        <v>154</v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3"/>
      <c r="AI238" s="113"/>
      <c r="AJ238" s="113"/>
      <c r="AK238" s="113"/>
      <c r="AL238" s="113"/>
      <c r="AM238" s="113"/>
      <c r="AN238" s="113"/>
      <c r="AO238" s="113"/>
    </row>
    <row r="239" spans="2:41">
      <c r="D239" s="126">
        <f>'Simulazione 8.4'!$C$61</f>
        <v>0.16</v>
      </c>
      <c r="E239" s="126">
        <f>'Simulazione 8.4'!$C$61</f>
        <v>0.16</v>
      </c>
      <c r="F239" s="126">
        <f>'Simulazione 8.4'!$C$61</f>
        <v>0.16</v>
      </c>
      <c r="G239" s="126">
        <f>'Simulazione 8.4'!$C$61</f>
        <v>0.16</v>
      </c>
      <c r="H239" s="126">
        <f>'Simulazione 8.4'!$C$61</f>
        <v>0.16</v>
      </c>
      <c r="I239" s="126">
        <f>'Simulazione 8.4'!$C$61</f>
        <v>0.16</v>
      </c>
      <c r="J239" s="126">
        <f>'Simulazione 8.4'!$C$61</f>
        <v>0.16</v>
      </c>
      <c r="K239" s="126">
        <f>'Simulazione 8.4'!$C$61</f>
        <v>0.16</v>
      </c>
      <c r="L239" s="126">
        <f>'Simulazione 8.4'!$C$61</f>
        <v>0.16</v>
      </c>
      <c r="M239" s="126">
        <f>'Simulazione 8.4'!$C$61</f>
        <v>0.16</v>
      </c>
      <c r="N239" s="126">
        <f>'Simulazione 8.4'!$C$61</f>
        <v>0.16</v>
      </c>
      <c r="O239" s="126">
        <f>'Simulazione 8.4'!$C$61</f>
        <v>0.16</v>
      </c>
      <c r="P239" s="126">
        <f>'Simulazione 8.4'!$C$61</f>
        <v>0.16</v>
      </c>
      <c r="Q239" s="126">
        <f>'Simulazione 8.4'!$C$61</f>
        <v>0.16</v>
      </c>
      <c r="R239" s="126">
        <f>'Simulazione 8.4'!$C$61</f>
        <v>0.16</v>
      </c>
      <c r="S239" s="126">
        <f>'Simulazione 8.4'!$C$61</f>
        <v>0.16</v>
      </c>
      <c r="T239" s="424">
        <f>'Simulazione 8.4'!$C$61</f>
        <v>0.16</v>
      </c>
      <c r="U239" s="126">
        <f>'Simulazione 8.4'!$C$61</f>
        <v>0.16</v>
      </c>
      <c r="V239" s="126">
        <f>'Simulazione 8.4'!$C$61</f>
        <v>0.16</v>
      </c>
      <c r="W239" s="126">
        <f>'Simulazione 8.4'!$C$61</f>
        <v>0.16</v>
      </c>
      <c r="X239" s="126">
        <f>'Simulazione 8.4'!$C$61</f>
        <v>0.16</v>
      </c>
      <c r="Y239" s="126">
        <f>'Simulazione 8.4'!$C$61</f>
        <v>0.16</v>
      </c>
      <c r="Z239" s="126">
        <f>'Simulazione 8.4'!$C$61</f>
        <v>0.16</v>
      </c>
      <c r="AA239" s="126">
        <f>'Simulazione 8.4'!$C$61</f>
        <v>0.16</v>
      </c>
      <c r="AB239" s="126">
        <f>'Simulazione 8.4'!$C$61</f>
        <v>0.16</v>
      </c>
    </row>
    <row r="240" spans="2:41">
      <c r="C240" s="6" t="s">
        <v>171</v>
      </c>
      <c r="D240" s="77">
        <f>IF(('Simulazione 8.4'!E70-'Simulazione 8.4'!E71)&gt;'Simulazione 8.4'!E74,'Simulazione 8.4'!E74*Calcoli!D239,('Simulazione 8.4'!E70-'Simulazione 8.4'!E71)*Calcoli!D239)</f>
        <v>201.14864369100025</v>
      </c>
      <c r="E240" s="77">
        <f>IF(('Simulazione 8.4'!F70-'Simulazione 8.4'!F71)&gt;'Simulazione 8.4'!F74,'Simulazione 8.4'!F74*Calcoli!E239,('Simulazione 8.4'!F70-'Simulazione 8.4'!F71)*Calcoli!E239)</f>
        <v>212.93830589778128</v>
      </c>
      <c r="F240" s="77">
        <f>IF(('Simulazione 8.4'!G70-'Simulazione 8.4'!G71)&gt;'Simulazione 8.4'!G74,'Simulazione 8.4'!G74*Calcoli!F239,('Simulazione 8.4'!G70-'Simulazione 8.4'!G71)*Calcoli!F239)</f>
        <v>224.96186114470117</v>
      </c>
      <c r="G240" s="77">
        <f>IF(('Simulazione 8.4'!H70-'Simulazione 8.4'!H71)&gt;'Simulazione 8.4'!H74,'Simulazione 8.4'!H74*Calcoli!G239,('Simulazione 8.4'!H70-'Simulazione 8.4'!H71)*Calcoli!G239)</f>
        <v>237.22570439439886</v>
      </c>
      <c r="H240" s="77">
        <f>IF(('Simulazione 8.4'!I70-'Simulazione 8.4'!I71)&gt;'Simulazione 8.4'!I74,'Simulazione 8.4'!I74*Calcoli!H239,('Simulazione 8.4'!I70-'Simulazione 8.4'!I71)*Calcoli!H239)</f>
        <v>249.73638555484922</v>
      </c>
      <c r="I240" s="77">
        <f>IF(('Simulazione 8.4'!J70-'Simulazione 8.4'!J71)&gt;'Simulazione 8.4'!J74,'Simulazione 8.4'!J74*Calcoli!I239,('Simulazione 8.4'!J70-'Simulazione 8.4'!J71)*Calcoli!I239)</f>
        <v>262.50061339735561</v>
      </c>
      <c r="J240" s="77">
        <f>IF(('Simulazione 8.4'!K70-'Simulazione 8.4'!K71)&gt;'Simulazione 8.4'!K74,'Simulazione 8.4'!K74*Calcoli!J239,('Simulazione 8.4'!K70-'Simulazione 8.4'!K71)*Calcoli!J239)</f>
        <v>275.52525957209184</v>
      </c>
      <c r="K240" s="77">
        <f>IF(('Simulazione 8.4'!L70-'Simulazione 8.4'!L71)&gt;'Simulazione 8.4'!L74,'Simulazione 8.4'!L74*Calcoli!K239,('Simulazione 8.4'!L70-'Simulazione 8.4'!L71)*Calcoli!K239)</f>
        <v>288.81736272363827</v>
      </c>
      <c r="L240" s="77">
        <f>IF(('Simulazione 8.4'!M70-'Simulazione 8.4'!M71)&gt;'Simulazione 8.4'!M74,'Simulazione 8.4'!M74*Calcoli!L239,('Simulazione 8.4'!M70-'Simulazione 8.4'!M71)*Calcoli!L239)</f>
        <v>302.38413270901316</v>
      </c>
      <c r="M240" s="77">
        <f>IF(('Simulazione 8.4'!N70-'Simulazione 8.4'!N71)&gt;'Simulazione 8.4'!N74,'Simulazione 8.4'!N74*Calcoli!M239,('Simulazione 8.4'!N70-'Simulazione 8.4'!N71)*Calcoli!M239)</f>
        <v>316.23295492076693</v>
      </c>
      <c r="N240" s="77">
        <f>IF(('Simulazione 8.4'!O70-'Simulazione 8.4'!O71)&gt;'Simulazione 8.4'!O74,'Simulazione 8.4'!O74*Calcoli!N239,('Simulazione 8.4'!O70-'Simulazione 8.4'!O71)*Calcoli!N239)</f>
        <v>330.37139471776823</v>
      </c>
      <c r="O240" s="77">
        <f>IF(('Simulazione 8.4'!P70-'Simulazione 8.4'!P71)&gt;'Simulazione 8.4'!P74,'Simulazione 8.4'!P74*Calcoli!O239,('Simulazione 8.4'!P70-'Simulazione 8.4'!P71)*Calcoli!O239)</f>
        <v>341.44656622762238</v>
      </c>
      <c r="P240" s="77">
        <f>IF(('Simulazione 8.4'!Q70-'Simulazione 8.4'!Q71)&gt;'Simulazione 8.4'!Q74,'Simulazione 8.4'!Q74*Calcoli!P239,('Simulazione 8.4'!Q70-'Simulazione 8.4'!Q71)*Calcoli!P239)</f>
        <v>338.37354713157373</v>
      </c>
      <c r="Q240" s="77">
        <f>IF(('Simulazione 8.4'!R70-'Simulazione 8.4'!R71)&gt;'Simulazione 8.4'!R74,'Simulazione 8.4'!R74*Calcoli!Q239,('Simulazione 8.4'!R70-'Simulazione 8.4'!R71)*Calcoli!Q239)</f>
        <v>335.32818520738959</v>
      </c>
      <c r="R240" s="77">
        <f>IF(('Simulazione 8.4'!S70-'Simulazione 8.4'!S71)&gt;'Simulazione 8.4'!S74,'Simulazione 8.4'!S74*Calcoli!R239,('Simulazione 8.4'!S70-'Simulazione 8.4'!S71)*Calcoli!R239)</f>
        <v>332.31023154052309</v>
      </c>
      <c r="S240" s="77">
        <f>IF(('Simulazione 8.4'!T70-'Simulazione 8.4'!T71)&gt;'Simulazione 8.4'!T74,'Simulazione 8.4'!T74*Calcoli!S239,('Simulazione 8.4'!T70-'Simulazione 8.4'!T71)*Calcoli!S239)</f>
        <v>329.3194394566583</v>
      </c>
      <c r="T240" s="78">
        <f>IF(('Simulazione 8.4'!U70-'Simulazione 8.4'!U71)&gt;'Simulazione 8.4'!U74,'Simulazione 8.4'!U74*Calcoli!T239,('Simulazione 8.4'!U70-'Simulazione 8.4'!U71)*Calcoli!T239)</f>
        <v>326.35556450154843</v>
      </c>
      <c r="U240" s="77">
        <f>IF(('Simulazione 8.4'!V70-'Simulazione 8.4'!V71)&gt;'Simulazione 8.4'!V74,'Simulazione 8.4'!V74*Calcoli!U239,('Simulazione 8.4'!V70-'Simulazione 8.4'!V71)*Calcoli!U239)</f>
        <v>323.41836442103448</v>
      </c>
      <c r="V240" s="77">
        <f>IF(('Simulazione 8.4'!W70-'Simulazione 8.4'!W71)&gt;'Simulazione 8.4'!W74,'Simulazione 8.4'!W74*Calcoli!V239,('Simulazione 8.4'!W70-'Simulazione 8.4'!W71)*Calcoli!V239)</f>
        <v>320.50759914124512</v>
      </c>
      <c r="W240" s="77">
        <f>IF(('Simulazione 8.4'!X70-'Simulazione 8.4'!X71)&gt;'Simulazione 8.4'!X74,'Simulazione 8.4'!X74*Calcoli!W239,('Simulazione 8.4'!X70-'Simulazione 8.4'!X71)*Calcoli!W239)</f>
        <v>317.62303074897386</v>
      </c>
      <c r="X240" s="77">
        <f>IF(('Simulazione 8.4'!Y70-'Simulazione 8.4'!Y71)&gt;'Simulazione 8.4'!Y74,'Simulazione 8.4'!Y74*Calcoli!X239,('Simulazione 8.4'!Y70-'Simulazione 8.4'!Y71)*Calcoli!X239)</f>
        <v>314.76442347223309</v>
      </c>
      <c r="Y240" s="77">
        <f>IF(('Simulazione 8.4'!Z70-'Simulazione 8.4'!Z71)&gt;'Simulazione 8.4'!Z74,'Simulazione 8.4'!Z74*Calcoli!Y239,('Simulazione 8.4'!Z70-'Simulazione 8.4'!Z71)*Calcoli!Y239)</f>
        <v>311.93154366098298</v>
      </c>
      <c r="Z240" s="77">
        <f>IF(('Simulazione 8.4'!AA70-'Simulazione 8.4'!AA71)&gt;'Simulazione 8.4'!AA74,'Simulazione 8.4'!AA74*Calcoli!Z239,('Simulazione 8.4'!AA70-'Simulazione 8.4'!AA71)*Calcoli!Z239)</f>
        <v>309.12415976803413</v>
      </c>
      <c r="AA240" s="77">
        <f>IF(('Simulazione 8.4'!AB70-'Simulazione 8.4'!AB71)&gt;'Simulazione 8.4'!AB74,'Simulazione 8.4'!AB74*Calcoli!AA239,('Simulazione 8.4'!AB70-'Simulazione 8.4'!AB71)*Calcoli!AA239)</f>
        <v>306.34204233012179</v>
      </c>
      <c r="AB240" s="77">
        <f>IF(('Simulazione 8.4'!AC70-'Simulazione 8.4'!AC71)&gt;'Simulazione 8.4'!AC74,'Simulazione 8.4'!AC74*Calcoli!AB239,('Simulazione 8.4'!AC70-'Simulazione 8.4'!AC71)*Calcoli!AB239)</f>
        <v>303.58496394915068</v>
      </c>
    </row>
    <row r="241" spans="3:31"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8"/>
      <c r="U241" s="77"/>
      <c r="V241" s="77"/>
      <c r="W241" s="77"/>
      <c r="X241" s="77"/>
      <c r="Y241" s="77"/>
      <c r="Z241" s="77"/>
      <c r="AA241" s="77"/>
      <c r="AB241" s="77"/>
    </row>
    <row r="242" spans="3:31">
      <c r="Q242" s="125"/>
    </row>
    <row r="244" spans="3:31">
      <c r="C244" s="6" t="s">
        <v>160</v>
      </c>
    </row>
    <row r="246" spans="3:31">
      <c r="D246" s="114">
        <v>1</v>
      </c>
      <c r="E246" s="114">
        <v>2</v>
      </c>
      <c r="F246" s="114">
        <v>3</v>
      </c>
      <c r="G246" s="114">
        <v>4</v>
      </c>
      <c r="H246" s="114">
        <v>5</v>
      </c>
      <c r="I246" s="114">
        <v>6</v>
      </c>
      <c r="J246" s="114">
        <v>7</v>
      </c>
      <c r="K246" s="114">
        <v>8</v>
      </c>
      <c r="L246" s="114">
        <v>9</v>
      </c>
      <c r="M246" s="114">
        <v>10</v>
      </c>
      <c r="N246" s="114">
        <v>11</v>
      </c>
      <c r="O246" s="114">
        <v>12</v>
      </c>
      <c r="P246" s="114">
        <v>13</v>
      </c>
      <c r="Q246" s="114">
        <v>14</v>
      </c>
      <c r="R246" s="114">
        <v>15</v>
      </c>
      <c r="S246" s="114">
        <v>16</v>
      </c>
      <c r="T246" s="418">
        <v>17</v>
      </c>
      <c r="U246" s="114">
        <v>18</v>
      </c>
      <c r="V246" s="114">
        <v>19</v>
      </c>
      <c r="W246" s="114">
        <v>20</v>
      </c>
      <c r="X246" s="114">
        <v>21</v>
      </c>
      <c r="Y246" s="114">
        <v>22</v>
      </c>
      <c r="Z246" s="114">
        <v>23</v>
      </c>
      <c r="AA246" s="114">
        <v>24</v>
      </c>
      <c r="AB246" s="114">
        <v>25</v>
      </c>
    </row>
    <row r="247" spans="3:31">
      <c r="D247" s="114">
        <f>'Simulazione 8.4'!C60</f>
        <v>0.19</v>
      </c>
      <c r="E247" s="114">
        <f>D247+(D247/100*'Simulazione 8.4'!$C$64)</f>
        <v>0.1976</v>
      </c>
      <c r="F247" s="114">
        <f>E247+(E247/100*'Simulazione 8.4'!$C$64)</f>
        <v>0.20550399999999999</v>
      </c>
      <c r="G247" s="114">
        <f>F247+(F247/100*'Simulazione 8.4'!$C$64)</f>
        <v>0.21372416</v>
      </c>
      <c r="H247" s="114">
        <f>G247+(G247/100*'Simulazione 8.4'!$C$64)</f>
        <v>0.22227312639999999</v>
      </c>
      <c r="I247" s="114">
        <f>H247+(H247/100*'Simulazione 8.4'!$C$64)</f>
        <v>0.231164051456</v>
      </c>
      <c r="J247" s="114">
        <f>I247+(I247/100*'Simulazione 8.4'!$C$64)</f>
        <v>0.24041061351424001</v>
      </c>
      <c r="K247" s="114">
        <f>J247+(J247/100*'Simulazione 8.4'!$C$64)</f>
        <v>0.25002703805480958</v>
      </c>
      <c r="L247" s="114">
        <f>K247+(K247/100*'Simulazione 8.4'!$C$64)</f>
        <v>0.26002811957700195</v>
      </c>
      <c r="M247" s="114">
        <f>L247+(L247/100*'Simulazione 8.4'!$C$64)</f>
        <v>0.27042924436008203</v>
      </c>
      <c r="N247" s="114">
        <f>M247+(M247/100*'Simulazione 8.4'!$C$64)</f>
        <v>0.28124641413448531</v>
      </c>
      <c r="O247" s="114">
        <f>N247+(N247/100*'Simulazione 8.4'!$C$64)</f>
        <v>0.29249627069986472</v>
      </c>
      <c r="P247" s="114">
        <f>O247+(O247/100*'Simulazione 8.4'!$C$64)</f>
        <v>0.3041961215278593</v>
      </c>
      <c r="Q247" s="114">
        <f>P247+(P247/100*'Simulazione 8.4'!$C$64)</f>
        <v>0.31636396638897368</v>
      </c>
      <c r="R247" s="114">
        <f>Q247+(Q247/100*'Simulazione 8.4'!$C$64)</f>
        <v>0.32901852504453261</v>
      </c>
      <c r="S247" s="114">
        <f>R247+(R247/100*'Simulazione 8.4'!$C$64)</f>
        <v>0.34217926604631393</v>
      </c>
      <c r="T247" s="418">
        <f>S247+(S247/100*'Simulazione 8.4'!$C$64)</f>
        <v>0.35586643668816648</v>
      </c>
      <c r="U247" s="114">
        <f>T247+(T247/100*'Simulazione 8.4'!$C$64)</f>
        <v>0.37010109415569314</v>
      </c>
      <c r="V247" s="114">
        <f>U247+(U247/100*'Simulazione 8.4'!$C$64)</f>
        <v>0.38490513792192088</v>
      </c>
      <c r="W247" s="114">
        <f>V247+(V247/100*'Simulazione 8.4'!$C$64)</f>
        <v>0.4003013434387977</v>
      </c>
      <c r="X247" s="114">
        <f>W247+(W247/100*'Simulazione 8.4'!$C$64)</f>
        <v>0.41631339717634963</v>
      </c>
      <c r="Y247" s="114">
        <f>X247+(X247/100*'Simulazione 8.4'!$C$64)</f>
        <v>0.43296593306340364</v>
      </c>
      <c r="Z247" s="114">
        <f>Y247+(Y247/100*'Simulazione 8.4'!$C$64)</f>
        <v>0.45028457038593978</v>
      </c>
      <c r="AA247" s="114">
        <f>Z247+(Z247/100*'Simulazione 8.4'!$C$64)</f>
        <v>0.46829595320137735</v>
      </c>
      <c r="AB247" s="114">
        <f>AA247+(AA247/100*'Simulazione 8.4'!$C$64)</f>
        <v>0.48702779132943241</v>
      </c>
    </row>
    <row r="250" spans="3:31">
      <c r="C250" s="6" t="s">
        <v>162</v>
      </c>
    </row>
    <row r="251" spans="3:31">
      <c r="D251" s="119">
        <f>'Simulazione 8.4'!C62</f>
        <v>0.1</v>
      </c>
      <c r="E251" s="119">
        <f>D251+(D251/100*'Simulazione 8.4'!$C$64)</f>
        <v>0.10400000000000001</v>
      </c>
      <c r="F251" s="119">
        <f>E251+(E251/100*'Simulazione 8.4'!$C$64)</f>
        <v>0.10816000000000001</v>
      </c>
      <c r="G251" s="119">
        <f>F251+(F251/100*'Simulazione 8.4'!$C$64)</f>
        <v>0.1124864</v>
      </c>
      <c r="H251" s="119">
        <f>G251+(G251/100*'Simulazione 8.4'!$C$64)</f>
        <v>0.116985856</v>
      </c>
      <c r="I251" s="119">
        <f>H251+(H251/100*'Simulazione 8.4'!$C$64)</f>
        <v>0.12166529024</v>
      </c>
      <c r="J251" s="119">
        <f>I251+(I251/100*'Simulazione 8.4'!$C$64)</f>
        <v>0.1265319018496</v>
      </c>
      <c r="K251" s="119">
        <f>J251+(J251/100*'Simulazione 8.4'!$C$64)</f>
        <v>0.13159317792358399</v>
      </c>
      <c r="L251" s="119">
        <f>K251+(K251/100*'Simulazione 8.4'!$C$64)</f>
        <v>0.13685690504052736</v>
      </c>
      <c r="M251" s="119">
        <f>L251+(L251/100*'Simulazione 8.4'!$C$64)</f>
        <v>0.14233118124214844</v>
      </c>
      <c r="N251" s="119">
        <f>M251+(M251/100*'Simulazione 8.4'!$C$64)</f>
        <v>0.14802442849183439</v>
      </c>
      <c r="O251" s="119">
        <f>N251+(N251/100*'Simulazione 8.4'!$C$64)</f>
        <v>0.15394540563150777</v>
      </c>
      <c r="P251" s="119">
        <f>O251+(O251/100*'Simulazione 8.4'!$C$64)</f>
        <v>0.16010322185676809</v>
      </c>
      <c r="Q251" s="119">
        <f>P251+(P251/100*'Simulazione 8.4'!$C$64)</f>
        <v>0.16650735073103881</v>
      </c>
      <c r="R251" s="119">
        <f>Q251+(Q251/100*'Simulazione 8.4'!$C$64)</f>
        <v>0.17316764476028038</v>
      </c>
      <c r="S251" s="119">
        <f>R251+(R251/100*'Simulazione 8.4'!$C$64)</f>
        <v>0.18009435055069159</v>
      </c>
      <c r="T251" s="119">
        <f>S251+(S251/100*'Simulazione 8.4'!$C$64)</f>
        <v>0.18729812457271924</v>
      </c>
      <c r="U251" s="119">
        <f>T251+(T251/100*'Simulazione 8.4'!$C$64)</f>
        <v>0.19479004955562801</v>
      </c>
      <c r="V251" s="119">
        <f>U251+(U251/100*'Simulazione 8.4'!$C$64)</f>
        <v>0.20258165153785312</v>
      </c>
      <c r="W251" s="119">
        <f>V251+(V251/100*'Simulazione 8.4'!$C$64)</f>
        <v>0.21068491759936725</v>
      </c>
      <c r="X251" s="119">
        <f>W251+(W251/100*'Simulazione 8.4'!$C$64)</f>
        <v>0.21911231430334194</v>
      </c>
      <c r="Y251" s="119">
        <f>X251+(X251/100*'Simulazione 8.4'!$C$64)</f>
        <v>0.22787680687547562</v>
      </c>
      <c r="Z251" s="119">
        <f>Y251+(Y251/100*'Simulazione 8.4'!$C$64)</f>
        <v>0.23699187915049466</v>
      </c>
      <c r="AA251" s="119">
        <f>Z251+(Z251/100*'Simulazione 8.4'!$C$64)</f>
        <v>0.24647155431651444</v>
      </c>
      <c r="AB251" s="119">
        <f>AA251+(AA251/100*'Simulazione 8.4'!$C$64)</f>
        <v>0.25633041648917504</v>
      </c>
      <c r="AC251" s="118"/>
      <c r="AD251" s="118"/>
      <c r="AE251" s="118"/>
    </row>
    <row r="254" spans="3:31">
      <c r="C254" s="6" t="s">
        <v>28</v>
      </c>
    </row>
    <row r="255" spans="3:31">
      <c r="D255" s="117"/>
    </row>
    <row r="256" spans="3:31">
      <c r="D256" s="6" t="b">
        <f>AND($D$1=6,$Q$49=1)</f>
        <v>0</v>
      </c>
      <c r="E256" s="6" t="b">
        <f t="shared" ref="E256:AB256" si="96">AND($D$1=6,$Q$49=1)</f>
        <v>0</v>
      </c>
      <c r="F256" s="6" t="b">
        <f t="shared" si="96"/>
        <v>0</v>
      </c>
      <c r="G256" s="6" t="b">
        <f t="shared" si="96"/>
        <v>0</v>
      </c>
      <c r="H256" s="6" t="b">
        <f t="shared" si="96"/>
        <v>0</v>
      </c>
      <c r="I256" s="6" t="b">
        <f t="shared" si="96"/>
        <v>0</v>
      </c>
      <c r="J256" s="6" t="b">
        <f t="shared" si="96"/>
        <v>0</v>
      </c>
      <c r="K256" s="6" t="b">
        <f t="shared" si="96"/>
        <v>0</v>
      </c>
      <c r="L256" s="6" t="b">
        <f t="shared" si="96"/>
        <v>0</v>
      </c>
      <c r="M256" s="6" t="b">
        <f t="shared" si="96"/>
        <v>0</v>
      </c>
      <c r="N256" s="6" t="b">
        <f t="shared" si="96"/>
        <v>0</v>
      </c>
      <c r="O256" s="6" t="b">
        <f t="shared" si="96"/>
        <v>0</v>
      </c>
      <c r="P256" s="6" t="b">
        <f t="shared" si="96"/>
        <v>0</v>
      </c>
      <c r="Q256" s="6" t="b">
        <f t="shared" si="96"/>
        <v>0</v>
      </c>
      <c r="R256" s="6" t="b">
        <f t="shared" si="96"/>
        <v>0</v>
      </c>
      <c r="S256" s="6" t="b">
        <f t="shared" si="96"/>
        <v>0</v>
      </c>
      <c r="T256" s="418" t="b">
        <f t="shared" si="96"/>
        <v>0</v>
      </c>
      <c r="U256" s="6" t="b">
        <f t="shared" si="96"/>
        <v>0</v>
      </c>
      <c r="V256" s="6" t="b">
        <f t="shared" si="96"/>
        <v>0</v>
      </c>
      <c r="W256" s="6" t="b">
        <f t="shared" si="96"/>
        <v>0</v>
      </c>
      <c r="X256" s="6" t="b">
        <f t="shared" si="96"/>
        <v>0</v>
      </c>
      <c r="Y256" s="6" t="b">
        <f t="shared" si="96"/>
        <v>0</v>
      </c>
      <c r="Z256" s="6" t="b">
        <f t="shared" si="96"/>
        <v>0</v>
      </c>
      <c r="AA256" s="6" t="b">
        <f t="shared" si="96"/>
        <v>0</v>
      </c>
      <c r="AB256" s="6" t="b">
        <f t="shared" si="96"/>
        <v>0</v>
      </c>
    </row>
    <row r="258" spans="3:28">
      <c r="C258" s="6" t="s">
        <v>27</v>
      </c>
    </row>
    <row r="260" spans="3:28">
      <c r="D260" s="117">
        <f>IF(Calcoli!$Q$49=1,'Simulazione 8.4'!C36,0)</f>
        <v>2500</v>
      </c>
      <c r="E260" s="78">
        <f>D260+D260/100*'Simulazione 8.4'!$C$53</f>
        <v>2562.5</v>
      </c>
      <c r="F260" s="78">
        <f>E260+E260/100*'Simulazione 8.4'!$C$53</f>
        <v>2626.5625</v>
      </c>
      <c r="G260" s="78">
        <f>F260+F260/100*'Simulazione 8.4'!$C$53</f>
        <v>2692.2265625</v>
      </c>
      <c r="H260" s="78">
        <f>G260+G260/100*'Simulazione 8.4'!$C$53</f>
        <v>2759.5322265625</v>
      </c>
      <c r="I260" s="78">
        <f>H260+H260/100*'Simulazione 8.4'!$C$53</f>
        <v>2828.5205322265624</v>
      </c>
      <c r="J260" s="78">
        <f>I260+I260/100*'Simulazione 8.4'!$C$53</f>
        <v>2899.2335455322263</v>
      </c>
      <c r="K260" s="78">
        <f>J260+J260/100*'Simulazione 8.4'!$C$53</f>
        <v>2971.714384170532</v>
      </c>
      <c r="L260" s="78">
        <f>K260+K260/100*'Simulazione 8.4'!$C$53</f>
        <v>3046.0072437747954</v>
      </c>
      <c r="M260" s="78">
        <f>L260+L260/100*'Simulazione 8.4'!$C$53</f>
        <v>3122.1574248691654</v>
      </c>
      <c r="N260" s="78">
        <f>M260+M260/100*'Simulazione 8.4'!$C$53</f>
        <v>3200.2113604908945</v>
      </c>
      <c r="O260" s="78">
        <f>N260+N260/100*'Simulazione 8.4'!$C$53</f>
        <v>3280.2166445031671</v>
      </c>
      <c r="P260" s="78">
        <f>O260+O260/100*'Simulazione 8.4'!$C$53</f>
        <v>3362.2220606157462</v>
      </c>
      <c r="Q260" s="78">
        <f>P260+P260/100*'Simulazione 8.4'!$C$53</f>
        <v>3446.2776121311399</v>
      </c>
      <c r="R260" s="78">
        <f>Q260+Q260/100*'Simulazione 8.4'!$C$53</f>
        <v>3532.4345524344185</v>
      </c>
      <c r="S260" s="78">
        <f>R260+R260/100*'Simulazione 8.4'!$C$53</f>
        <v>3620.7454162452791</v>
      </c>
      <c r="T260" s="78">
        <f>S260+S260/100*'Simulazione 8.4'!$C$53</f>
        <v>3711.2640516514111</v>
      </c>
      <c r="U260" s="78">
        <f>T260+T260/100*'Simulazione 8.4'!$C$53</f>
        <v>3804.0456529426965</v>
      </c>
      <c r="V260" s="78">
        <f>U260+U260/100*'Simulazione 8.4'!$C$53</f>
        <v>3899.1467942662639</v>
      </c>
      <c r="W260" s="78">
        <f>V260+V260/100*'Simulazione 8.4'!$C$53</f>
        <v>3996.6254641229207</v>
      </c>
      <c r="X260" s="78">
        <f>W260+W260/100*'Simulazione 8.4'!$C$53</f>
        <v>4096.5411007259936</v>
      </c>
      <c r="Y260" s="78">
        <f>X260+X260/100*'Simulazione 8.4'!$C$53</f>
        <v>4198.9546282441434</v>
      </c>
      <c r="Z260" s="78">
        <f>Y260+Y260/100*'Simulazione 8.4'!$C$53</f>
        <v>4303.9284939502468</v>
      </c>
      <c r="AA260" s="78">
        <f>Z260+Z260/100*'Simulazione 8.4'!$C$53</f>
        <v>4411.5267062990033</v>
      </c>
      <c r="AB260" s="78">
        <f>AA260+AA260/100*'Simulazione 8.4'!$C$53</f>
        <v>4521.8148739564786</v>
      </c>
    </row>
    <row r="263" spans="3:28">
      <c r="C263" s="6" t="s">
        <v>269</v>
      </c>
    </row>
    <row r="265" spans="3:28">
      <c r="D265" s="6" t="b">
        <f>AND($D$1=6,$D$76=1,$Q$49=1)</f>
        <v>0</v>
      </c>
      <c r="E265" s="6" t="b">
        <f t="shared" ref="E265:AB265" si="97">AND($D$1=6,$D$76=1,$Q$49=1)</f>
        <v>0</v>
      </c>
      <c r="F265" s="6" t="b">
        <f t="shared" si="97"/>
        <v>0</v>
      </c>
      <c r="G265" s="6" t="b">
        <f t="shared" si="97"/>
        <v>0</v>
      </c>
      <c r="H265" s="6" t="b">
        <f t="shared" si="97"/>
        <v>0</v>
      </c>
      <c r="I265" s="6" t="b">
        <f t="shared" si="97"/>
        <v>0</v>
      </c>
      <c r="J265" s="6" t="b">
        <f t="shared" si="97"/>
        <v>0</v>
      </c>
      <c r="K265" s="6" t="b">
        <f t="shared" si="97"/>
        <v>0</v>
      </c>
      <c r="L265" s="6" t="b">
        <f t="shared" si="97"/>
        <v>0</v>
      </c>
      <c r="M265" s="6" t="b">
        <f t="shared" si="97"/>
        <v>0</v>
      </c>
      <c r="N265" s="6" t="b">
        <f t="shared" si="97"/>
        <v>0</v>
      </c>
      <c r="O265" s="6" t="b">
        <f t="shared" si="97"/>
        <v>0</v>
      </c>
      <c r="P265" s="6" t="b">
        <f t="shared" si="97"/>
        <v>0</v>
      </c>
      <c r="Q265" s="6" t="b">
        <f t="shared" si="97"/>
        <v>0</v>
      </c>
      <c r="R265" s="6" t="b">
        <f t="shared" si="97"/>
        <v>0</v>
      </c>
      <c r="S265" s="6" t="b">
        <f t="shared" si="97"/>
        <v>0</v>
      </c>
      <c r="T265" s="418" t="b">
        <f t="shared" si="97"/>
        <v>0</v>
      </c>
      <c r="U265" s="6" t="b">
        <f t="shared" si="97"/>
        <v>0</v>
      </c>
      <c r="V265" s="6" t="b">
        <f t="shared" si="97"/>
        <v>0</v>
      </c>
      <c r="W265" s="6" t="b">
        <f t="shared" si="97"/>
        <v>0</v>
      </c>
      <c r="X265" s="6" t="b">
        <f t="shared" si="97"/>
        <v>0</v>
      </c>
      <c r="Y265" s="6" t="b">
        <f t="shared" si="97"/>
        <v>0</v>
      </c>
      <c r="Z265" s="6" t="b">
        <f t="shared" si="97"/>
        <v>0</v>
      </c>
      <c r="AA265" s="6" t="b">
        <f t="shared" si="97"/>
        <v>0</v>
      </c>
      <c r="AB265" s="6" t="b">
        <f t="shared" si="97"/>
        <v>0</v>
      </c>
    </row>
    <row r="268" spans="3:28">
      <c r="C268" s="6" t="s">
        <v>280</v>
      </c>
    </row>
    <row r="270" spans="3:28">
      <c r="C270" s="453">
        <f>'Simulazione 8.4'!E101</f>
        <v>-5655.7753344914254</v>
      </c>
      <c r="D270" s="453">
        <f>'Simulazione 8.4'!F101</f>
        <v>-4751.7854605025723</v>
      </c>
      <c r="E270" s="453">
        <f>'Simulazione 8.4'!G101</f>
        <v>-3846.7504613201672</v>
      </c>
      <c r="F270" s="453">
        <f>'Simulazione 8.4'!H101</f>
        <v>-2940.3841518193708</v>
      </c>
      <c r="G270" s="453">
        <f>'Simulazione 8.4'!I101</f>
        <v>-2032.3938656255182</v>
      </c>
      <c r="H270" s="453">
        <f>'Simulazione 8.4'!J101</f>
        <v>-1122.4802359414637</v>
      </c>
      <c r="I270" s="453">
        <f>'Simulazione 8.4'!K101</f>
        <v>-210.33696984475847</v>
      </c>
      <c r="J270" s="453">
        <f>'Simulazione 8.4'!L101</f>
        <v>704.34938414708881</v>
      </c>
      <c r="K270" s="453">
        <f>'Simulazione 8.4'!M101</f>
        <v>1621.8996754511877</v>
      </c>
      <c r="L270" s="453">
        <f>'Simulazione 8.4'!N101</f>
        <v>2292.6423979479523</v>
      </c>
      <c r="M270" s="453">
        <f>'Simulazione 8.4'!O101</f>
        <v>3216.9139438847219</v>
      </c>
      <c r="N270" s="453">
        <f>'Simulazione 8.4'!P101</f>
        <v>4145.0588653818941</v>
      </c>
      <c r="O270" s="453">
        <f>'Simulazione 8.4'!Q101</f>
        <v>5077.4301437761033</v>
      </c>
      <c r="P270" s="453">
        <f>'Simulazione 8.4'!R101</f>
        <v>6014.3894670421532</v>
      </c>
      <c r="Q270" s="453">
        <f>'Simulazione 8.4'!S101</f>
        <v>6956.3075155428005</v>
      </c>
      <c r="R270" s="453">
        <f>'Simulazione 8.4'!T101</f>
        <v>7903.5642563631063</v>
      </c>
      <c r="S270" s="453">
        <f>'Simulazione 8.4'!U101</f>
        <v>8856.5492464939234</v>
      </c>
      <c r="T270" s="453">
        <f>'Simulazione 8.4'!V101</f>
        <v>9815.6619451371789</v>
      </c>
      <c r="U270" s="453">
        <f>'Simulazione 8.4'!W101</f>
        <v>10781.312035413959</v>
      </c>
      <c r="V270" s="453">
        <f>'Simulazione 8.4'!X101</f>
        <v>11503.919755764993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W41:X41"/>
    <mergeCell ref="D119:F119"/>
    <mergeCell ref="F190:G190"/>
    <mergeCell ref="F198:G198"/>
    <mergeCell ref="F206:G206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5"/>
  <sheetViews>
    <sheetView topLeftCell="A3" zoomScale="90" zoomScaleNormal="90" workbookViewId="0">
      <selection activeCell="A3" sqref="A3"/>
    </sheetView>
  </sheetViews>
  <sheetFormatPr defaultRowHeight="12.75"/>
  <cols>
    <col min="1" max="1" width="9.5703125" style="201" bestFit="1" customWidth="1"/>
    <col min="2" max="2" width="13.5703125" style="201" bestFit="1" customWidth="1"/>
    <col min="3" max="3" width="20.85546875" style="201" bestFit="1" customWidth="1"/>
    <col min="4" max="4" width="22.5703125" style="201" bestFit="1" customWidth="1"/>
    <col min="5" max="5" width="12.85546875" style="201" bestFit="1" customWidth="1"/>
    <col min="6" max="6" width="19.42578125" style="201" bestFit="1" customWidth="1"/>
    <col min="7" max="8" width="24.85546875" style="201" customWidth="1"/>
    <col min="9" max="10" width="9.140625" style="201"/>
    <col min="11" max="13" width="9.28515625" style="201" bestFit="1" customWidth="1"/>
    <col min="14" max="18" width="9.85546875" style="201" bestFit="1" customWidth="1"/>
    <col min="19" max="19" width="10.5703125" style="201" bestFit="1" customWidth="1"/>
    <col min="20" max="20" width="9.28515625" style="201" bestFit="1" customWidth="1"/>
    <col min="21" max="21" width="10.28515625" style="201" bestFit="1" customWidth="1"/>
    <col min="22" max="22" width="9.7109375" style="201" bestFit="1" customWidth="1"/>
    <col min="23" max="26" width="9.140625" style="201"/>
    <col min="27" max="27" width="13.28515625" style="201" bestFit="1" customWidth="1"/>
    <col min="28" max="29" width="10.140625" style="201" bestFit="1" customWidth="1"/>
    <col min="30" max="34" width="9.140625" style="201"/>
    <col min="35" max="35" width="10.42578125" style="201" bestFit="1" customWidth="1"/>
    <col min="36" max="36" width="9.140625" style="201"/>
    <col min="37" max="37" width="10.140625" style="201" bestFit="1" customWidth="1"/>
    <col min="38" max="16384" width="9.140625" style="201"/>
  </cols>
  <sheetData>
    <row r="1" spans="1:38">
      <c r="A1" s="249"/>
      <c r="B1" s="249"/>
      <c r="C1" s="249"/>
      <c r="D1" s="249"/>
      <c r="E1" s="249"/>
      <c r="F1" s="249"/>
    </row>
    <row r="2" spans="1:38">
      <c r="A2" s="249"/>
      <c r="B2" s="249"/>
      <c r="C2" s="249"/>
      <c r="D2" s="249"/>
      <c r="E2" s="249"/>
      <c r="F2" s="249"/>
      <c r="Q2" s="201">
        <v>6</v>
      </c>
      <c r="Y2" s="201">
        <v>16</v>
      </c>
      <c r="Z2" s="202" t="s">
        <v>218</v>
      </c>
    </row>
    <row r="3" spans="1:38">
      <c r="A3" s="209"/>
      <c r="B3" s="209"/>
      <c r="C3" s="209"/>
      <c r="D3" s="209"/>
      <c r="E3" s="209"/>
      <c r="F3" s="209"/>
      <c r="G3" s="204"/>
      <c r="H3" s="204"/>
      <c r="I3" s="204"/>
      <c r="J3" s="203"/>
      <c r="K3" s="203"/>
      <c r="L3" s="203"/>
      <c r="M3" s="203"/>
      <c r="N3" s="203"/>
      <c r="O3" s="203"/>
      <c r="P3" s="205">
        <v>41122</v>
      </c>
      <c r="Q3" s="203"/>
      <c r="R3" s="203"/>
      <c r="S3" s="203"/>
      <c r="T3" s="203"/>
      <c r="U3" s="203"/>
      <c r="V3" s="203"/>
      <c r="W3" s="203">
        <v>1</v>
      </c>
      <c r="X3" s="206">
        <v>-0.05</v>
      </c>
      <c r="Y3" s="203"/>
      <c r="Z3" s="207">
        <f>'Simulazione 8.4'!C53/100</f>
        <v>2.5000000000000001E-2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>
      <c r="A4" s="209"/>
      <c r="B4" s="208"/>
      <c r="C4" s="209"/>
      <c r="D4" s="209"/>
      <c r="E4" s="209"/>
      <c r="F4" s="209"/>
      <c r="G4" s="204"/>
      <c r="H4" s="204"/>
      <c r="I4" s="203"/>
      <c r="J4" s="203"/>
      <c r="K4" s="203"/>
      <c r="L4" s="203"/>
      <c r="M4" s="203"/>
      <c r="N4" s="203"/>
      <c r="O4" s="203"/>
      <c r="P4" s="205">
        <v>41153</v>
      </c>
      <c r="Q4" s="203"/>
      <c r="R4" s="203"/>
      <c r="S4" s="203"/>
      <c r="T4" s="203"/>
      <c r="U4" s="203"/>
      <c r="V4" s="203"/>
      <c r="W4" s="203">
        <v>2</v>
      </c>
      <c r="X4" s="206">
        <v>-4.4999999999999998E-2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>
      <c r="A5" s="209"/>
      <c r="B5" s="208"/>
      <c r="C5" s="209"/>
      <c r="D5" s="209"/>
      <c r="E5" s="209"/>
      <c r="F5" s="209"/>
      <c r="G5" s="204"/>
      <c r="H5" s="204"/>
      <c r="I5" s="203"/>
      <c r="J5" s="203"/>
      <c r="K5" s="203"/>
      <c r="L5" s="203"/>
      <c r="M5" s="203"/>
      <c r="N5" s="203"/>
      <c r="O5" s="203"/>
      <c r="P5" s="205">
        <v>41183</v>
      </c>
      <c r="Q5" s="203"/>
      <c r="R5" s="203"/>
      <c r="S5" s="203"/>
      <c r="T5" s="203"/>
      <c r="U5" s="203"/>
      <c r="V5" s="203"/>
      <c r="W5" s="203">
        <v>3</v>
      </c>
      <c r="X5" s="206">
        <v>-0.04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>
      <c r="A6" s="209"/>
      <c r="B6" s="209"/>
      <c r="C6" s="209"/>
      <c r="D6" s="209"/>
      <c r="E6" s="209"/>
      <c r="F6" s="209"/>
      <c r="G6" s="204"/>
      <c r="H6" s="204"/>
      <c r="I6" s="203"/>
      <c r="J6" s="203"/>
      <c r="K6" s="203"/>
      <c r="L6" s="203"/>
      <c r="M6" s="203"/>
      <c r="N6" s="203"/>
      <c r="O6" s="203"/>
      <c r="P6" s="205">
        <v>41214</v>
      </c>
      <c r="Q6" s="203"/>
      <c r="R6" s="203"/>
      <c r="S6" s="203"/>
      <c r="T6" s="203"/>
      <c r="U6" s="203"/>
      <c r="V6" s="203"/>
      <c r="W6" s="203">
        <v>4</v>
      </c>
      <c r="X6" s="206">
        <v>-3.5000000000000003E-2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>
      <c r="A7" s="209"/>
      <c r="B7" s="209"/>
      <c r="C7" s="209"/>
      <c r="D7" s="209"/>
      <c r="E7" s="209"/>
      <c r="F7" s="209"/>
      <c r="G7" s="204"/>
      <c r="H7" s="204"/>
      <c r="I7" s="203"/>
      <c r="J7" s="203"/>
      <c r="K7" s="203"/>
      <c r="L7" s="203"/>
      <c r="M7" s="203"/>
      <c r="N7" s="203"/>
      <c r="O7" s="203"/>
      <c r="P7" s="205">
        <v>41244</v>
      </c>
      <c r="Q7" s="203"/>
      <c r="R7" s="203"/>
      <c r="S7" s="203"/>
      <c r="T7" s="203"/>
      <c r="U7" s="203"/>
      <c r="V7" s="203"/>
      <c r="W7" s="203">
        <v>5</v>
      </c>
      <c r="X7" s="206">
        <v>-0.03</v>
      </c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>
      <c r="A8" s="209"/>
      <c r="B8" s="209"/>
      <c r="C8" s="209"/>
      <c r="D8" s="209"/>
      <c r="E8" s="209"/>
      <c r="F8" s="209"/>
      <c r="G8" s="204"/>
      <c r="H8" s="204"/>
      <c r="I8" s="203"/>
      <c r="J8" s="203"/>
      <c r="K8" s="203"/>
      <c r="L8" s="203"/>
      <c r="M8" s="203"/>
      <c r="N8" s="203"/>
      <c r="O8" s="203"/>
      <c r="P8" s="205">
        <v>41275</v>
      </c>
      <c r="Q8" s="203"/>
      <c r="R8" s="203"/>
      <c r="S8" s="203"/>
      <c r="T8" s="203"/>
      <c r="U8" s="203"/>
      <c r="V8" s="203"/>
      <c r="W8" s="203">
        <v>6</v>
      </c>
      <c r="X8" s="206">
        <v>-2.5000000000000001E-2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1:38">
      <c r="A9" s="209"/>
      <c r="B9" s="209"/>
      <c r="C9" s="209"/>
      <c r="D9" s="209"/>
      <c r="E9" s="209"/>
      <c r="F9" s="209"/>
      <c r="G9" s="204"/>
      <c r="H9" s="204"/>
      <c r="I9" s="203"/>
      <c r="J9" s="203"/>
      <c r="K9" s="203"/>
      <c r="L9" s="203"/>
      <c r="M9" s="203"/>
      <c r="N9" s="203"/>
      <c r="O9" s="203"/>
      <c r="P9" s="205">
        <v>41306</v>
      </c>
      <c r="Q9" s="203"/>
      <c r="R9" s="203"/>
      <c r="S9" s="203"/>
      <c r="T9" s="203"/>
      <c r="U9" s="203"/>
      <c r="V9" s="203"/>
      <c r="W9" s="203">
        <v>7</v>
      </c>
      <c r="X9" s="206">
        <v>-0.02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1:38" ht="14.25">
      <c r="A10" s="280"/>
      <c r="B10" s="281"/>
      <c r="C10" s="209"/>
      <c r="D10" s="209"/>
      <c r="E10" s="209"/>
      <c r="F10" s="209"/>
      <c r="G10" s="204"/>
      <c r="H10" s="204"/>
      <c r="I10" s="203"/>
      <c r="J10" s="203"/>
      <c r="K10" s="203"/>
      <c r="L10" s="203"/>
      <c r="M10" s="203"/>
      <c r="N10" s="203"/>
      <c r="O10" s="203"/>
      <c r="P10" s="205">
        <v>41334</v>
      </c>
      <c r="Q10" s="203"/>
      <c r="R10" s="203"/>
      <c r="S10" s="203"/>
      <c r="T10" s="203"/>
      <c r="U10" s="203"/>
      <c r="V10" s="203"/>
      <c r="W10" s="203">
        <v>8</v>
      </c>
      <c r="X10" s="206">
        <v>-1.4999999999999999E-2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14.25">
      <c r="A11" s="280"/>
      <c r="B11" s="281"/>
      <c r="C11" s="209"/>
      <c r="D11" s="209"/>
      <c r="E11" s="209"/>
      <c r="F11" s="209"/>
      <c r="G11" s="204"/>
      <c r="H11" s="204"/>
      <c r="I11" s="203"/>
      <c r="J11" s="203"/>
      <c r="K11" s="203"/>
      <c r="L11" s="203"/>
      <c r="M11" s="203"/>
      <c r="N11" s="203"/>
      <c r="O11" s="203"/>
      <c r="P11" s="205">
        <v>41365</v>
      </c>
      <c r="Q11" s="203"/>
      <c r="R11" s="203"/>
      <c r="S11" s="203"/>
      <c r="T11" s="203"/>
      <c r="U11" s="203"/>
      <c r="V11" s="203"/>
      <c r="W11" s="203">
        <v>9</v>
      </c>
      <c r="X11" s="206">
        <v>-0.01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>
      <c r="A12" s="209"/>
      <c r="B12" s="208"/>
      <c r="C12" s="209"/>
      <c r="D12" s="209"/>
      <c r="E12" s="209"/>
      <c r="F12" s="209"/>
      <c r="G12" s="204"/>
      <c r="H12" s="204"/>
      <c r="I12" s="203"/>
      <c r="J12" s="203"/>
      <c r="K12" s="203"/>
      <c r="L12" s="203"/>
      <c r="M12" s="203"/>
      <c r="N12" s="203"/>
      <c r="O12" s="203"/>
      <c r="P12" s="205">
        <v>41395</v>
      </c>
      <c r="Q12" s="203"/>
      <c r="R12" s="203"/>
      <c r="S12" s="203"/>
      <c r="T12" s="203"/>
      <c r="U12" s="203"/>
      <c r="V12" s="203"/>
      <c r="W12" s="203">
        <v>10</v>
      </c>
      <c r="X12" s="206">
        <v>-5.0000000000000001E-3</v>
      </c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>
      <c r="A13" s="210"/>
      <c r="B13" s="237"/>
      <c r="C13" s="237"/>
      <c r="D13" s="237"/>
      <c r="E13" s="237"/>
      <c r="F13" s="209"/>
      <c r="G13" s="204"/>
      <c r="H13" s="204"/>
      <c r="I13" s="203"/>
      <c r="J13" s="203"/>
      <c r="K13" s="203"/>
      <c r="L13" s="203"/>
      <c r="M13" s="203"/>
      <c r="N13" s="203"/>
      <c r="O13" s="203"/>
      <c r="P13" s="205">
        <v>41426</v>
      </c>
      <c r="Q13" s="203"/>
      <c r="R13" s="203"/>
      <c r="S13" s="203"/>
      <c r="T13" s="203"/>
      <c r="U13" s="203"/>
      <c r="V13" s="203"/>
      <c r="W13" s="203">
        <v>11</v>
      </c>
      <c r="X13" s="206">
        <v>0</v>
      </c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1:38">
      <c r="A14" s="276"/>
      <c r="B14" s="276"/>
      <c r="C14" s="276"/>
      <c r="D14" s="276"/>
      <c r="E14" s="276"/>
      <c r="F14" s="276"/>
      <c r="G14" s="204"/>
      <c r="H14" s="204"/>
      <c r="I14" s="203"/>
      <c r="J14" s="203"/>
      <c r="K14" s="203"/>
      <c r="L14" s="203"/>
      <c r="M14" s="203"/>
      <c r="N14" s="203"/>
      <c r="O14" s="203"/>
      <c r="P14" s="205">
        <v>41456</v>
      </c>
      <c r="Q14" s="203"/>
      <c r="R14" s="203"/>
      <c r="S14" s="203"/>
      <c r="T14" s="203"/>
      <c r="U14" s="203"/>
      <c r="V14" s="203"/>
      <c r="W14" s="203">
        <v>12</v>
      </c>
      <c r="X14" s="206">
        <v>5.0000000000000001E-3</v>
      </c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1:38">
      <c r="A15" s="282"/>
      <c r="B15" s="282"/>
      <c r="C15" s="282"/>
      <c r="D15" s="282"/>
      <c r="E15" s="282"/>
      <c r="F15" s="282"/>
      <c r="G15" s="204"/>
      <c r="H15" s="204"/>
      <c r="I15" s="203"/>
      <c r="J15" s="203"/>
      <c r="K15" s="203"/>
      <c r="L15" s="203"/>
      <c r="M15" s="203"/>
      <c r="N15" s="203"/>
      <c r="O15" s="203"/>
      <c r="P15" s="205">
        <v>41487</v>
      </c>
      <c r="Q15" s="203"/>
      <c r="R15" s="203"/>
      <c r="S15" s="203"/>
      <c r="T15" s="203"/>
      <c r="U15" s="203"/>
      <c r="V15" s="203"/>
      <c r="W15" s="203">
        <v>13</v>
      </c>
      <c r="X15" s="206">
        <v>0.01</v>
      </c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1:38">
      <c r="A16" s="282"/>
      <c r="B16" s="209"/>
      <c r="C16" s="209"/>
      <c r="D16" s="209"/>
      <c r="E16" s="209"/>
      <c r="F16" s="209"/>
      <c r="G16" s="204"/>
      <c r="H16" s="204"/>
      <c r="I16" s="203"/>
      <c r="J16" s="203"/>
      <c r="K16" s="203"/>
      <c r="L16" s="203"/>
      <c r="M16" s="203"/>
      <c r="N16" s="203"/>
      <c r="O16" s="203"/>
      <c r="P16" s="205">
        <v>41518</v>
      </c>
      <c r="Q16" s="203"/>
      <c r="R16" s="203"/>
      <c r="S16" s="203"/>
      <c r="T16" s="203"/>
      <c r="U16" s="203"/>
      <c r="V16" s="203"/>
      <c r="W16" s="203">
        <v>14</v>
      </c>
      <c r="X16" s="206">
        <v>1.4999999999999999E-2</v>
      </c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1:38">
      <c r="A17" s="283"/>
      <c r="B17" s="283"/>
      <c r="C17" s="283"/>
      <c r="D17" s="283"/>
      <c r="E17" s="283"/>
      <c r="F17" s="283"/>
      <c r="G17" s="204"/>
      <c r="H17" s="204"/>
      <c r="I17" s="203"/>
      <c r="J17" s="203"/>
      <c r="K17" s="203"/>
      <c r="L17" s="203"/>
      <c r="M17" s="203"/>
      <c r="N17" s="203"/>
      <c r="O17" s="203"/>
      <c r="P17" s="205">
        <v>41548</v>
      </c>
      <c r="Q17" s="203"/>
      <c r="R17" s="203"/>
      <c r="S17" s="203"/>
      <c r="T17" s="203"/>
      <c r="U17" s="203"/>
      <c r="V17" s="203"/>
      <c r="W17" s="203">
        <v>15</v>
      </c>
      <c r="X17" s="206">
        <v>0.02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1:38">
      <c r="A18" s="209"/>
      <c r="B18" s="209"/>
      <c r="C18" s="209"/>
      <c r="D18" s="209"/>
      <c r="E18" s="209"/>
      <c r="F18" s="209"/>
      <c r="G18" s="204"/>
      <c r="H18" s="204"/>
      <c r="I18" s="203"/>
      <c r="J18" s="203"/>
      <c r="K18" s="203"/>
      <c r="L18" s="203"/>
      <c r="M18" s="203"/>
      <c r="N18" s="203"/>
      <c r="O18" s="203"/>
      <c r="P18" s="205">
        <v>41579</v>
      </c>
      <c r="Q18" s="203"/>
      <c r="R18" s="203"/>
      <c r="S18" s="203"/>
      <c r="T18" s="203"/>
      <c r="U18" s="203"/>
      <c r="V18" s="203"/>
      <c r="W18" s="203">
        <v>16</v>
      </c>
      <c r="X18" s="206">
        <v>2.5000000000000001E-2</v>
      </c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</row>
    <row r="19" spans="1:38">
      <c r="A19" s="276"/>
      <c r="B19" s="276"/>
      <c r="C19" s="276"/>
      <c r="D19" s="276"/>
      <c r="E19" s="276"/>
      <c r="F19" s="276"/>
      <c r="G19" s="204"/>
      <c r="H19" s="204"/>
      <c r="I19" s="203"/>
      <c r="J19" s="203"/>
      <c r="K19" s="203"/>
      <c r="L19" s="203"/>
      <c r="M19" s="203"/>
      <c r="N19" s="203"/>
      <c r="O19" s="203"/>
      <c r="P19" s="205">
        <v>41609</v>
      </c>
      <c r="Q19" s="203"/>
      <c r="R19" s="203"/>
      <c r="S19" s="203"/>
      <c r="T19" s="203"/>
      <c r="U19" s="203"/>
      <c r="V19" s="203"/>
      <c r="W19" s="203">
        <v>17</v>
      </c>
      <c r="X19" s="206">
        <v>0.03</v>
      </c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</row>
    <row r="20" spans="1:38">
      <c r="A20" s="212"/>
      <c r="B20" s="212"/>
      <c r="C20" s="212"/>
      <c r="D20" s="212"/>
      <c r="E20" s="212"/>
      <c r="F20" s="212"/>
      <c r="G20" s="204"/>
      <c r="H20" s="204"/>
      <c r="I20" s="203"/>
      <c r="J20" s="203"/>
      <c r="K20" s="203"/>
      <c r="L20" s="203"/>
      <c r="M20" s="203"/>
      <c r="N20" s="203"/>
      <c r="O20" s="203"/>
      <c r="P20" s="205">
        <v>41640</v>
      </c>
      <c r="Q20" s="203"/>
      <c r="R20" s="203"/>
      <c r="S20" s="203"/>
      <c r="T20" s="203"/>
      <c r="U20" s="203"/>
      <c r="V20" s="203"/>
      <c r="W20" s="203">
        <v>18</v>
      </c>
      <c r="X20" s="206">
        <v>3.5000000000000003E-2</v>
      </c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</row>
    <row r="21" spans="1:38">
      <c r="A21" s="212"/>
      <c r="B21" s="212"/>
      <c r="C21" s="212"/>
      <c r="D21" s="212"/>
      <c r="E21" s="212"/>
      <c r="F21" s="212"/>
      <c r="G21" s="204"/>
      <c r="H21" s="204"/>
      <c r="I21" s="203"/>
      <c r="J21" s="203"/>
      <c r="K21" s="203"/>
      <c r="L21" s="203"/>
      <c r="M21" s="203"/>
      <c r="N21" s="203"/>
      <c r="O21" s="203"/>
      <c r="P21" s="205">
        <v>41671</v>
      </c>
      <c r="Q21" s="203"/>
      <c r="R21" s="203"/>
      <c r="S21" s="203"/>
      <c r="T21" s="203"/>
      <c r="U21" s="203"/>
      <c r="V21" s="203"/>
      <c r="W21" s="203">
        <v>19</v>
      </c>
      <c r="X21" s="206">
        <v>0.04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</row>
    <row r="22" spans="1:38">
      <c r="A22" s="209"/>
      <c r="B22" s="209"/>
      <c r="C22" s="209"/>
      <c r="D22" s="209"/>
      <c r="E22" s="209"/>
      <c r="F22" s="209"/>
      <c r="G22" s="204"/>
      <c r="H22" s="204"/>
      <c r="I22" s="203"/>
      <c r="J22" s="203"/>
      <c r="K22" s="203"/>
      <c r="L22" s="203"/>
      <c r="M22" s="203"/>
      <c r="N22" s="203"/>
      <c r="O22" s="203"/>
      <c r="P22" s="205">
        <v>41699</v>
      </c>
      <c r="Q22" s="203"/>
      <c r="R22" s="203"/>
      <c r="S22" s="203"/>
      <c r="T22" s="203"/>
      <c r="U22" s="203"/>
      <c r="V22" s="203"/>
      <c r="W22" s="203">
        <v>20</v>
      </c>
      <c r="X22" s="206">
        <v>4.4999999999999998E-2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spans="1:38">
      <c r="A23" s="209"/>
      <c r="B23" s="209"/>
      <c r="C23" s="209"/>
      <c r="D23" s="209"/>
      <c r="E23" s="209"/>
      <c r="F23" s="209"/>
      <c r="G23" s="204"/>
      <c r="H23" s="204"/>
      <c r="I23" s="203"/>
      <c r="J23" s="203"/>
      <c r="K23" s="203"/>
      <c r="L23" s="203"/>
      <c r="M23" s="203"/>
      <c r="N23" s="203"/>
      <c r="O23" s="203"/>
      <c r="P23" s="205">
        <v>41730</v>
      </c>
      <c r="Q23" s="203"/>
      <c r="R23" s="203"/>
      <c r="S23" s="203"/>
      <c r="T23" s="203"/>
      <c r="U23" s="203"/>
      <c r="V23" s="203"/>
      <c r="W23" s="203">
        <v>21</v>
      </c>
      <c r="X23" s="206">
        <v>0.05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</row>
    <row r="24" spans="1:38">
      <c r="A24" s="209"/>
      <c r="B24" s="209"/>
      <c r="C24" s="209"/>
      <c r="D24" s="209"/>
      <c r="E24" s="209"/>
      <c r="F24" s="209"/>
      <c r="G24" s="204"/>
      <c r="H24" s="204"/>
      <c r="I24" s="203"/>
      <c r="J24" s="203"/>
      <c r="K24" s="203"/>
      <c r="L24" s="203"/>
      <c r="M24" s="203"/>
      <c r="N24" s="203"/>
      <c r="O24" s="203"/>
      <c r="P24" s="205">
        <v>41760</v>
      </c>
      <c r="Q24" s="203"/>
      <c r="R24" s="203"/>
      <c r="S24" s="203"/>
      <c r="T24" s="203"/>
      <c r="U24" s="203"/>
      <c r="V24" s="203"/>
      <c r="W24" s="203">
        <v>22</v>
      </c>
      <c r="X24" s="206">
        <v>5.4999999999999903E-2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</row>
    <row r="25" spans="1:38">
      <c r="A25" s="209"/>
      <c r="B25" s="209"/>
      <c r="C25" s="209"/>
      <c r="D25" s="209"/>
      <c r="E25" s="209"/>
      <c r="F25" s="209"/>
      <c r="G25" s="204"/>
      <c r="H25" s="204"/>
      <c r="I25" s="203"/>
      <c r="J25" s="203"/>
      <c r="K25" s="203"/>
      <c r="L25" s="203"/>
      <c r="M25" s="203"/>
      <c r="N25" s="203"/>
      <c r="O25" s="203"/>
      <c r="P25" s="205">
        <v>41791</v>
      </c>
      <c r="Q25" s="203"/>
      <c r="R25" s="203"/>
      <c r="S25" s="203"/>
      <c r="T25" s="203"/>
      <c r="U25" s="203"/>
      <c r="V25" s="203"/>
      <c r="W25" s="203">
        <v>23</v>
      </c>
      <c r="X25" s="206">
        <v>0.06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</row>
    <row r="26" spans="1:38">
      <c r="A26" s="238"/>
      <c r="B26" s="209"/>
      <c r="C26" s="209"/>
      <c r="D26" s="209"/>
      <c r="E26" s="209"/>
      <c r="F26" s="209"/>
      <c r="G26" s="204"/>
      <c r="H26" s="204"/>
      <c r="I26" s="203"/>
      <c r="J26" s="203"/>
      <c r="K26" s="203"/>
      <c r="L26" s="203"/>
      <c r="M26" s="203"/>
      <c r="N26" s="203"/>
      <c r="O26" s="203"/>
      <c r="P26" s="205">
        <v>41821</v>
      </c>
      <c r="Q26" s="203"/>
      <c r="R26" s="203"/>
      <c r="S26" s="203"/>
      <c r="T26" s="203"/>
      <c r="U26" s="203"/>
      <c r="V26" s="203"/>
      <c r="W26" s="203">
        <v>24</v>
      </c>
      <c r="X26" s="206">
        <v>6.5000000000000002E-2</v>
      </c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</row>
    <row r="27" spans="1:38">
      <c r="A27" s="209"/>
      <c r="B27" s="209"/>
      <c r="C27" s="209"/>
      <c r="D27" s="209"/>
      <c r="E27" s="209"/>
      <c r="F27" s="209"/>
      <c r="G27" s="204"/>
      <c r="H27" s="204"/>
      <c r="I27" s="203"/>
      <c r="J27" s="203"/>
      <c r="K27" s="203"/>
      <c r="L27" s="203"/>
      <c r="M27" s="203"/>
      <c r="N27" s="203"/>
      <c r="O27" s="203"/>
      <c r="P27" s="205">
        <v>41852</v>
      </c>
      <c r="Q27" s="203"/>
      <c r="R27" s="203"/>
      <c r="S27" s="203"/>
      <c r="T27" s="203"/>
      <c r="U27" s="203"/>
      <c r="V27" s="203"/>
      <c r="W27" s="203">
        <v>25</v>
      </c>
      <c r="X27" s="206">
        <v>7.0000000000000007E-2</v>
      </c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</row>
    <row r="28" spans="1:38">
      <c r="A28" s="209"/>
      <c r="B28" s="209"/>
      <c r="C28" s="209"/>
      <c r="D28" s="209"/>
      <c r="E28" s="209"/>
      <c r="F28" s="209"/>
      <c r="G28" s="204"/>
      <c r="H28" s="204"/>
      <c r="I28" s="203"/>
      <c r="J28" s="203"/>
      <c r="K28" s="203"/>
      <c r="L28" s="203"/>
      <c r="M28" s="203"/>
      <c r="N28" s="203"/>
      <c r="O28" s="203"/>
      <c r="P28" s="205">
        <v>41883</v>
      </c>
      <c r="Q28" s="203"/>
      <c r="R28" s="203"/>
      <c r="S28" s="203"/>
      <c r="T28" s="203"/>
      <c r="U28" s="203"/>
      <c r="V28" s="203"/>
      <c r="W28" s="203">
        <v>26</v>
      </c>
      <c r="X28" s="206">
        <v>7.4999999999999997E-2</v>
      </c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</row>
    <row r="29" spans="1:38">
      <c r="A29" s="276"/>
      <c r="B29" s="276"/>
      <c r="C29" s="276"/>
      <c r="D29" s="276"/>
      <c r="E29" s="276"/>
      <c r="F29" s="276"/>
      <c r="G29" s="204"/>
      <c r="H29" s="204"/>
      <c r="I29" s="203"/>
      <c r="J29" s="203"/>
      <c r="K29" s="203"/>
      <c r="L29" s="203"/>
      <c r="M29" s="203"/>
      <c r="N29" s="203"/>
      <c r="O29" s="203"/>
      <c r="P29" s="205">
        <v>41913</v>
      </c>
      <c r="Q29" s="203"/>
      <c r="R29" s="203"/>
      <c r="S29" s="203"/>
      <c r="T29" s="203"/>
      <c r="U29" s="203"/>
      <c r="V29" s="203"/>
      <c r="W29" s="203">
        <v>27</v>
      </c>
      <c r="X29" s="206">
        <v>0.08</v>
      </c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</row>
    <row r="30" spans="1:38">
      <c r="A30" s="284"/>
      <c r="B30" s="284"/>
      <c r="C30" s="284"/>
      <c r="D30" s="284"/>
      <c r="E30" s="284"/>
      <c r="F30" s="284"/>
      <c r="G30" s="204"/>
      <c r="H30" s="204"/>
      <c r="I30" s="203"/>
      <c r="J30" s="203"/>
      <c r="K30" s="203"/>
      <c r="L30" s="203"/>
      <c r="M30" s="203"/>
      <c r="N30" s="203"/>
      <c r="O30" s="203"/>
      <c r="P30" s="205">
        <v>41944</v>
      </c>
      <c r="Q30" s="203"/>
      <c r="R30" s="203"/>
      <c r="S30" s="203"/>
      <c r="T30" s="203"/>
      <c r="U30" s="203"/>
      <c r="V30" s="203"/>
      <c r="W30" s="203">
        <v>28</v>
      </c>
      <c r="X30" s="206">
        <v>8.5000000000000006E-2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</row>
    <row r="31" spans="1:38">
      <c r="A31" s="238"/>
      <c r="B31" s="212"/>
      <c r="C31" s="212"/>
      <c r="D31" s="212"/>
      <c r="E31" s="212"/>
      <c r="F31" s="212"/>
      <c r="G31" s="204"/>
      <c r="H31" s="204"/>
      <c r="I31" s="203"/>
      <c r="J31" s="203"/>
      <c r="K31" s="203"/>
      <c r="L31" s="203"/>
      <c r="M31" s="203"/>
      <c r="N31" s="203"/>
      <c r="O31" s="203"/>
      <c r="P31" s="205">
        <v>41974</v>
      </c>
      <c r="Q31" s="203"/>
      <c r="R31" s="203"/>
      <c r="S31" s="203"/>
      <c r="T31" s="203"/>
      <c r="U31" s="203"/>
      <c r="V31" s="203"/>
      <c r="W31" s="203">
        <v>29</v>
      </c>
      <c r="X31" s="206">
        <v>0.09</v>
      </c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</row>
    <row r="32" spans="1:38">
      <c r="A32" s="209"/>
      <c r="B32" s="209"/>
      <c r="C32" s="209"/>
      <c r="D32" s="209"/>
      <c r="E32" s="209"/>
      <c r="F32" s="209"/>
      <c r="G32" s="204"/>
      <c r="H32" s="204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>
        <v>30</v>
      </c>
      <c r="X32" s="206">
        <v>9.5000000000000001E-2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>
      <c r="A33" s="209"/>
      <c r="B33" s="209"/>
      <c r="C33" s="209"/>
      <c r="D33" s="209"/>
      <c r="E33" s="209"/>
      <c r="F33" s="209"/>
      <c r="G33" s="204"/>
      <c r="H33" s="204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>
        <v>31</v>
      </c>
      <c r="X33" s="206">
        <v>0.1</v>
      </c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</row>
    <row r="34" spans="1:38">
      <c r="A34" s="209"/>
      <c r="B34" s="209"/>
      <c r="C34" s="209"/>
      <c r="D34" s="209"/>
      <c r="E34" s="209"/>
      <c r="F34" s="209"/>
      <c r="G34" s="204"/>
      <c r="H34" s="204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</row>
    <row r="35" spans="1:38">
      <c r="A35" s="209"/>
      <c r="B35" s="209"/>
      <c r="C35" s="209"/>
      <c r="D35" s="209"/>
      <c r="E35" s="209"/>
      <c r="F35" s="209"/>
      <c r="G35" s="204"/>
      <c r="H35" s="204"/>
      <c r="I35" s="209"/>
      <c r="J35" s="540" t="s">
        <v>219</v>
      </c>
      <c r="K35" s="542" t="s">
        <v>220</v>
      </c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4"/>
      <c r="W35" s="214"/>
      <c r="X35" s="215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</row>
    <row r="36" spans="1:38">
      <c r="A36" s="276"/>
      <c r="B36" s="276"/>
      <c r="C36" s="276"/>
      <c r="D36" s="276"/>
      <c r="E36" s="276"/>
      <c r="F36" s="276"/>
      <c r="G36" s="204"/>
      <c r="H36" s="204"/>
      <c r="I36" s="209"/>
      <c r="J36" s="541"/>
      <c r="K36" s="545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7"/>
      <c r="W36" s="216"/>
      <c r="X36" s="217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</row>
    <row r="37" spans="1:38">
      <c r="A37" s="212"/>
      <c r="B37" s="212"/>
      <c r="C37" s="212"/>
      <c r="D37" s="212"/>
      <c r="E37" s="212"/>
      <c r="F37" s="212"/>
      <c r="G37" s="204"/>
      <c r="H37" s="204"/>
      <c r="I37" s="209"/>
      <c r="J37" s="218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22"/>
      <c r="X37" s="223"/>
      <c r="Y37" s="203"/>
      <c r="Z37" s="535" t="s">
        <v>221</v>
      </c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7"/>
    </row>
    <row r="38" spans="1:38" ht="26.25" thickBot="1">
      <c r="A38" s="212"/>
      <c r="B38" s="212"/>
      <c r="C38" s="212"/>
      <c r="D38" s="212"/>
      <c r="E38" s="212"/>
      <c r="F38" s="212"/>
      <c r="G38" s="204"/>
      <c r="H38" s="204"/>
      <c r="I38" s="224"/>
      <c r="J38" s="225" t="s">
        <v>222</v>
      </c>
      <c r="K38" s="226" t="s">
        <v>223</v>
      </c>
      <c r="L38" s="226" t="s">
        <v>224</v>
      </c>
      <c r="M38" s="226" t="s">
        <v>225</v>
      </c>
      <c r="N38" s="226" t="s">
        <v>226</v>
      </c>
      <c r="O38" s="226" t="s">
        <v>227</v>
      </c>
      <c r="P38" s="226" t="s">
        <v>228</v>
      </c>
      <c r="Q38" s="226" t="s">
        <v>229</v>
      </c>
      <c r="R38" s="226" t="s">
        <v>230</v>
      </c>
      <c r="S38" s="226" t="s">
        <v>231</v>
      </c>
      <c r="T38" s="226" t="s">
        <v>232</v>
      </c>
      <c r="U38" s="226" t="s">
        <v>233</v>
      </c>
      <c r="V38" s="226" t="s">
        <v>234</v>
      </c>
      <c r="W38" s="227" t="s">
        <v>235</v>
      </c>
      <c r="X38" s="228"/>
      <c r="Y38" s="203"/>
      <c r="Z38" s="229" t="s">
        <v>222</v>
      </c>
      <c r="AA38" s="230" t="s">
        <v>223</v>
      </c>
      <c r="AB38" s="230" t="s">
        <v>224</v>
      </c>
      <c r="AC38" s="230" t="s">
        <v>225</v>
      </c>
      <c r="AD38" s="230" t="s">
        <v>226</v>
      </c>
      <c r="AE38" s="230" t="s">
        <v>227</v>
      </c>
      <c r="AF38" s="230" t="s">
        <v>228</v>
      </c>
      <c r="AG38" s="230" t="s">
        <v>229</v>
      </c>
      <c r="AH38" s="230" t="s">
        <v>230</v>
      </c>
      <c r="AI38" s="230" t="s">
        <v>231</v>
      </c>
      <c r="AJ38" s="230" t="s">
        <v>232</v>
      </c>
      <c r="AK38" s="230" t="s">
        <v>233</v>
      </c>
      <c r="AL38" s="230" t="s">
        <v>234</v>
      </c>
    </row>
    <row r="39" spans="1:38" ht="13.5" thickBot="1">
      <c r="A39" s="239"/>
      <c r="B39" s="239"/>
      <c r="C39" s="239"/>
      <c r="D39" s="239"/>
      <c r="E39" s="239"/>
      <c r="F39" s="239"/>
      <c r="G39" s="204"/>
      <c r="H39" s="204"/>
      <c r="I39" s="224"/>
      <c r="J39" s="231">
        <v>0</v>
      </c>
      <c r="K39" s="232">
        <v>0.03</v>
      </c>
      <c r="L39" s="232">
        <v>0.03</v>
      </c>
      <c r="M39" s="232">
        <v>0.03</v>
      </c>
      <c r="N39" s="232">
        <v>0.03</v>
      </c>
      <c r="O39" s="232">
        <v>0.03</v>
      </c>
      <c r="P39" s="232">
        <v>0.03</v>
      </c>
      <c r="Q39" s="232">
        <v>0.03</v>
      </c>
      <c r="R39" s="232">
        <v>0.03</v>
      </c>
      <c r="S39" s="232">
        <v>0.03</v>
      </c>
      <c r="T39" s="232">
        <v>0.03</v>
      </c>
      <c r="U39" s="232">
        <v>0.03</v>
      </c>
      <c r="V39" s="232">
        <v>0.03</v>
      </c>
      <c r="W39" s="233">
        <f>AVERAGE(K39:V39)</f>
        <v>3.0000000000000009E-2</v>
      </c>
      <c r="X39" s="234"/>
      <c r="Y39" s="203"/>
      <c r="Z39" s="235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236">
        <v>0</v>
      </c>
      <c r="AL39" s="236">
        <v>0</v>
      </c>
    </row>
    <row r="40" spans="1:38" ht="13.5" thickBot="1">
      <c r="A40" s="212"/>
      <c r="B40" s="212"/>
      <c r="C40" s="212"/>
      <c r="D40" s="212"/>
      <c r="E40" s="212"/>
      <c r="F40" s="212"/>
      <c r="G40" s="204"/>
      <c r="H40" s="204"/>
      <c r="I40" s="224"/>
      <c r="J40" s="231">
        <v>1</v>
      </c>
      <c r="K40" s="232">
        <v>0.02</v>
      </c>
      <c r="L40" s="232">
        <v>0.02</v>
      </c>
      <c r="M40" s="232">
        <v>0.02</v>
      </c>
      <c r="N40" s="232">
        <v>0.02</v>
      </c>
      <c r="O40" s="232">
        <v>0.02</v>
      </c>
      <c r="P40" s="232">
        <v>0.02</v>
      </c>
      <c r="Q40" s="232">
        <v>0.02</v>
      </c>
      <c r="R40" s="232">
        <v>0.02</v>
      </c>
      <c r="S40" s="232">
        <v>0.02</v>
      </c>
      <c r="T40" s="232">
        <v>0.02</v>
      </c>
      <c r="U40" s="232">
        <v>0.02</v>
      </c>
      <c r="V40" s="232">
        <v>0.02</v>
      </c>
      <c r="W40" s="233">
        <f t="shared" ref="W40:W62" si="0">AVERAGE(K40:V40)</f>
        <v>1.9999999999999997E-2</v>
      </c>
      <c r="X40" s="234"/>
      <c r="Y40" s="203"/>
      <c r="Z40" s="235">
        <v>1</v>
      </c>
      <c r="AA40" s="236">
        <v>0</v>
      </c>
      <c r="AB40" s="236"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</row>
    <row r="41" spans="1:38" ht="13.5" thickBot="1">
      <c r="A41" s="209"/>
      <c r="B41" s="209"/>
      <c r="C41" s="209"/>
      <c r="D41" s="209"/>
      <c r="E41" s="209"/>
      <c r="F41" s="209"/>
      <c r="G41" s="204"/>
      <c r="H41" s="204"/>
      <c r="I41" s="224"/>
      <c r="J41" s="231">
        <v>2</v>
      </c>
      <c r="K41" s="232">
        <v>0.02</v>
      </c>
      <c r="L41" s="232">
        <v>0.02</v>
      </c>
      <c r="M41" s="232">
        <v>0.02</v>
      </c>
      <c r="N41" s="232">
        <v>0.02</v>
      </c>
      <c r="O41" s="232">
        <v>0.02</v>
      </c>
      <c r="P41" s="232">
        <v>0.02</v>
      </c>
      <c r="Q41" s="232">
        <v>0.02</v>
      </c>
      <c r="R41" s="232">
        <v>0.02</v>
      </c>
      <c r="S41" s="232">
        <v>0.02</v>
      </c>
      <c r="T41" s="232">
        <v>0.02</v>
      </c>
      <c r="U41" s="232">
        <v>0.02</v>
      </c>
      <c r="V41" s="232">
        <v>0.02</v>
      </c>
      <c r="W41" s="233">
        <f t="shared" si="0"/>
        <v>1.9999999999999997E-2</v>
      </c>
      <c r="X41" s="234"/>
      <c r="Y41" s="203"/>
      <c r="Z41" s="235">
        <v>2</v>
      </c>
      <c r="AA41" s="236">
        <v>0</v>
      </c>
      <c r="AB41" s="236"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0</v>
      </c>
      <c r="AL41" s="236">
        <v>0</v>
      </c>
    </row>
    <row r="42" spans="1:38" ht="16.5" thickBot="1">
      <c r="A42" s="285"/>
      <c r="B42" s="209"/>
      <c r="C42" s="237"/>
      <c r="D42" s="237"/>
      <c r="E42" s="237"/>
      <c r="F42" s="237"/>
      <c r="G42" s="204"/>
      <c r="H42" s="204"/>
      <c r="I42" s="224"/>
      <c r="J42" s="231">
        <v>3</v>
      </c>
      <c r="K42" s="232">
        <v>0.02</v>
      </c>
      <c r="L42" s="232">
        <v>0.02</v>
      </c>
      <c r="M42" s="232">
        <v>0.02</v>
      </c>
      <c r="N42" s="232">
        <v>0.02</v>
      </c>
      <c r="O42" s="232">
        <v>0.02</v>
      </c>
      <c r="P42" s="232">
        <v>0.02</v>
      </c>
      <c r="Q42" s="232">
        <v>0.02</v>
      </c>
      <c r="R42" s="232">
        <v>0.02</v>
      </c>
      <c r="S42" s="232">
        <v>0.02</v>
      </c>
      <c r="T42" s="232">
        <v>0.02</v>
      </c>
      <c r="U42" s="232">
        <v>0.02</v>
      </c>
      <c r="V42" s="232">
        <v>0.02</v>
      </c>
      <c r="W42" s="233">
        <f t="shared" si="0"/>
        <v>1.9999999999999997E-2</v>
      </c>
      <c r="X42" s="234"/>
      <c r="Y42" s="203"/>
      <c r="Z42" s="235">
        <v>3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</row>
    <row r="43" spans="1:38" ht="13.5" thickBot="1">
      <c r="A43" s="209"/>
      <c r="B43" s="209"/>
      <c r="C43" s="209"/>
      <c r="D43" s="209"/>
      <c r="E43" s="209"/>
      <c r="F43" s="209"/>
      <c r="G43" s="204"/>
      <c r="H43" s="204"/>
      <c r="I43" s="224"/>
      <c r="J43" s="231">
        <v>4</v>
      </c>
      <c r="K43" s="232">
        <v>0.02</v>
      </c>
      <c r="L43" s="232">
        <v>0.02</v>
      </c>
      <c r="M43" s="232">
        <v>0.02</v>
      </c>
      <c r="N43" s="232">
        <v>0.02</v>
      </c>
      <c r="O43" s="232">
        <v>0.02</v>
      </c>
      <c r="P43" s="232">
        <v>0.02</v>
      </c>
      <c r="Q43" s="232">
        <v>0.02</v>
      </c>
      <c r="R43" s="232">
        <v>0.02</v>
      </c>
      <c r="S43" s="232">
        <v>0.02</v>
      </c>
      <c r="T43" s="232">
        <v>0.02</v>
      </c>
      <c r="U43" s="232">
        <v>0.02</v>
      </c>
      <c r="V43" s="232">
        <v>0.02</v>
      </c>
      <c r="W43" s="233">
        <f t="shared" si="0"/>
        <v>1.9999999999999997E-2</v>
      </c>
      <c r="X43" s="234"/>
      <c r="Y43" s="203"/>
      <c r="Z43" s="235">
        <v>4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</row>
    <row r="44" spans="1:38" ht="13.5" thickBot="1">
      <c r="A44" s="209"/>
      <c r="B44" s="209"/>
      <c r="C44" s="209"/>
      <c r="D44" s="209"/>
      <c r="E44" s="209"/>
      <c r="F44" s="209"/>
      <c r="G44" s="204"/>
      <c r="H44" s="204"/>
      <c r="I44" s="224"/>
      <c r="J44" s="231">
        <v>5</v>
      </c>
      <c r="K44" s="232">
        <v>0.03</v>
      </c>
      <c r="L44" s="232">
        <v>0.03</v>
      </c>
      <c r="M44" s="232">
        <v>0.03</v>
      </c>
      <c r="N44" s="232">
        <v>0.03</v>
      </c>
      <c r="O44" s="232">
        <v>0.03</v>
      </c>
      <c r="P44" s="232">
        <v>0.03</v>
      </c>
      <c r="Q44" s="232">
        <v>0.03</v>
      </c>
      <c r="R44" s="232">
        <v>0.03</v>
      </c>
      <c r="S44" s="232">
        <v>0.03</v>
      </c>
      <c r="T44" s="232">
        <v>0.03</v>
      </c>
      <c r="U44" s="232">
        <v>0.03</v>
      </c>
      <c r="V44" s="232">
        <v>0.03</v>
      </c>
      <c r="W44" s="233">
        <f t="shared" si="0"/>
        <v>3.0000000000000009E-2</v>
      </c>
      <c r="X44" s="234"/>
      <c r="Y44" s="203"/>
      <c r="Z44" s="235">
        <v>5</v>
      </c>
      <c r="AA44" s="236">
        <v>0</v>
      </c>
      <c r="AB44" s="236">
        <v>0</v>
      </c>
      <c r="AC44" s="236">
        <v>0</v>
      </c>
      <c r="AD44" s="236">
        <v>1.0889271916180827E-3</v>
      </c>
      <c r="AE44" s="236">
        <v>1.1628003357652171E-2</v>
      </c>
      <c r="AF44" s="236">
        <v>1.5755062884955571E-2</v>
      </c>
      <c r="AG44" s="236">
        <v>1.180160242165346E-2</v>
      </c>
      <c r="AH44" s="236">
        <v>2.2845182133862051E-3</v>
      </c>
      <c r="AI44" s="236">
        <v>0</v>
      </c>
      <c r="AJ44" s="236">
        <v>0</v>
      </c>
      <c r="AK44" s="236">
        <v>0</v>
      </c>
      <c r="AL44" s="236">
        <v>0</v>
      </c>
    </row>
    <row r="45" spans="1:38" ht="13.5" thickBot="1">
      <c r="A45" s="209"/>
      <c r="B45" s="209"/>
      <c r="C45" s="209"/>
      <c r="D45" s="209"/>
      <c r="E45" s="209"/>
      <c r="F45" s="209"/>
      <c r="G45" s="204"/>
      <c r="H45" s="204"/>
      <c r="I45" s="224"/>
      <c r="J45" s="231">
        <v>6</v>
      </c>
      <c r="K45" s="232">
        <v>0.04</v>
      </c>
      <c r="L45" s="232">
        <v>0.04</v>
      </c>
      <c r="M45" s="232">
        <v>0.04</v>
      </c>
      <c r="N45" s="232">
        <v>0.04</v>
      </c>
      <c r="O45" s="232">
        <v>0.04</v>
      </c>
      <c r="P45" s="232">
        <v>0.04</v>
      </c>
      <c r="Q45" s="232">
        <v>0.04</v>
      </c>
      <c r="R45" s="232">
        <v>0.04</v>
      </c>
      <c r="S45" s="232">
        <v>0.04</v>
      </c>
      <c r="T45" s="232">
        <v>0.04</v>
      </c>
      <c r="U45" s="232">
        <v>0.04</v>
      </c>
      <c r="V45" s="232">
        <v>0.04</v>
      </c>
      <c r="W45" s="233">
        <f t="shared" si="0"/>
        <v>3.9999999999999994E-2</v>
      </c>
      <c r="X45" s="234"/>
      <c r="Y45" s="203"/>
      <c r="Z45" s="235">
        <v>6</v>
      </c>
      <c r="AA45" s="236">
        <v>0</v>
      </c>
      <c r="AB45" s="236">
        <v>0</v>
      </c>
      <c r="AC45" s="236">
        <v>5.38271650628213E-3</v>
      </c>
      <c r="AD45" s="236">
        <v>2.277099523711594E-2</v>
      </c>
      <c r="AE45" s="236">
        <v>3.1402118769782071E-2</v>
      </c>
      <c r="AF45" s="236">
        <v>3.272476728900995E-2</v>
      </c>
      <c r="AG45" s="236">
        <v>2.8940836792315523E-2</v>
      </c>
      <c r="AH45" s="236">
        <v>1.4117287402092896E-2</v>
      </c>
      <c r="AI45" s="236">
        <v>1.0317638634727422E-2</v>
      </c>
      <c r="AJ45" s="236">
        <v>0</v>
      </c>
      <c r="AK45" s="236">
        <v>0</v>
      </c>
      <c r="AL45" s="236">
        <v>0</v>
      </c>
    </row>
    <row r="46" spans="1:38" ht="13.5" thickBot="1">
      <c r="A46" s="212"/>
      <c r="B46" s="209"/>
      <c r="C46" s="209"/>
      <c r="D46" s="209"/>
      <c r="E46" s="209"/>
      <c r="F46" s="209"/>
      <c r="G46" s="204"/>
      <c r="H46" s="204"/>
      <c r="I46" s="224"/>
      <c r="J46" s="231">
        <v>7</v>
      </c>
      <c r="K46" s="232">
        <v>0.05</v>
      </c>
      <c r="L46" s="232">
        <v>0.05</v>
      </c>
      <c r="M46" s="232">
        <v>0.05</v>
      </c>
      <c r="N46" s="232">
        <v>0.05</v>
      </c>
      <c r="O46" s="232">
        <v>0.05</v>
      </c>
      <c r="P46" s="232">
        <v>0.05</v>
      </c>
      <c r="Q46" s="232">
        <v>0.05</v>
      </c>
      <c r="R46" s="232">
        <v>0.05</v>
      </c>
      <c r="S46" s="232">
        <v>0.05</v>
      </c>
      <c r="T46" s="232">
        <v>0.05</v>
      </c>
      <c r="U46" s="232">
        <v>0.05</v>
      </c>
      <c r="V46" s="232">
        <v>0.05</v>
      </c>
      <c r="W46" s="233">
        <f t="shared" si="0"/>
        <v>4.9999999999999996E-2</v>
      </c>
      <c r="X46" s="234"/>
      <c r="Y46" s="203"/>
      <c r="Z46" s="235">
        <v>7</v>
      </c>
      <c r="AA46" s="236">
        <v>0</v>
      </c>
      <c r="AB46" s="236">
        <v>2.0135360717367608E-2</v>
      </c>
      <c r="AC46" s="236">
        <v>3.8852970057842932E-2</v>
      </c>
      <c r="AD46" s="236">
        <v>4.7289455728414406E-2</v>
      </c>
      <c r="AE46" s="236">
        <v>5.1225215605760398E-2</v>
      </c>
      <c r="AF46" s="236">
        <v>5.11768324679533E-2</v>
      </c>
      <c r="AG46" s="236">
        <v>4.9077220003132409E-2</v>
      </c>
      <c r="AH46" s="236">
        <v>1.9369778674794332E-2</v>
      </c>
      <c r="AI46" s="236">
        <v>4.0840399527767794E-2</v>
      </c>
      <c r="AJ46" s="236">
        <v>2.5734114011311635E-2</v>
      </c>
      <c r="AK46" s="236">
        <v>4.6185367583544091E-3</v>
      </c>
      <c r="AL46" s="236">
        <v>0</v>
      </c>
    </row>
    <row r="47" spans="1:38" ht="13.5" thickBot="1">
      <c r="A47" s="212"/>
      <c r="B47" s="209"/>
      <c r="C47" s="209"/>
      <c r="D47" s="209"/>
      <c r="E47" s="209"/>
      <c r="F47" s="209"/>
      <c r="G47" s="204"/>
      <c r="H47" s="204"/>
      <c r="I47" s="224"/>
      <c r="J47" s="231">
        <v>8</v>
      </c>
      <c r="K47" s="232">
        <v>0.06</v>
      </c>
      <c r="L47" s="232">
        <v>0.06</v>
      </c>
      <c r="M47" s="232">
        <v>0.06</v>
      </c>
      <c r="N47" s="232">
        <v>0.06</v>
      </c>
      <c r="O47" s="232">
        <v>0.06</v>
      </c>
      <c r="P47" s="232">
        <v>0.06</v>
      </c>
      <c r="Q47" s="232">
        <v>0.06</v>
      </c>
      <c r="R47" s="232">
        <v>0.06</v>
      </c>
      <c r="S47" s="232">
        <v>0.06</v>
      </c>
      <c r="T47" s="232">
        <v>0.06</v>
      </c>
      <c r="U47" s="232">
        <v>0.06</v>
      </c>
      <c r="V47" s="232">
        <v>0.06</v>
      </c>
      <c r="W47" s="233">
        <f t="shared" si="0"/>
        <v>6.0000000000000019E-2</v>
      </c>
      <c r="X47" s="234"/>
      <c r="Y47" s="203"/>
      <c r="Z47" s="235">
        <v>8</v>
      </c>
      <c r="AA47" s="236">
        <v>5.7779949483459478E-2</v>
      </c>
      <c r="AB47" s="236">
        <v>6.7604690418009497E-2</v>
      </c>
      <c r="AC47" s="236">
        <v>6.8017563302292292E-2</v>
      </c>
      <c r="AD47" s="236">
        <v>6.801794511079251E-2</v>
      </c>
      <c r="AE47" s="236">
        <v>6.702313541369706E-2</v>
      </c>
      <c r="AF47" s="236">
        <v>6.6113012840918126E-2</v>
      </c>
      <c r="AG47" s="236">
        <v>6.5812454662548245E-2</v>
      </c>
      <c r="AH47" s="236">
        <v>3.9091798013330535E-2</v>
      </c>
      <c r="AI47" s="236">
        <v>6.7186112153424113E-2</v>
      </c>
      <c r="AJ47" s="236">
        <v>6.5963468595002975E-2</v>
      </c>
      <c r="AK47" s="236">
        <v>6.0649751847015369E-2</v>
      </c>
      <c r="AL47" s="236">
        <v>4.708963435322782E-2</v>
      </c>
    </row>
    <row r="48" spans="1:38" ht="13.5" thickBot="1">
      <c r="A48" s="209"/>
      <c r="B48" s="209"/>
      <c r="C48" s="209"/>
      <c r="D48" s="209"/>
      <c r="E48" s="209"/>
      <c r="F48" s="209"/>
      <c r="G48" s="204"/>
      <c r="H48" s="204"/>
      <c r="I48" s="224"/>
      <c r="J48" s="231">
        <v>9</v>
      </c>
      <c r="K48" s="232">
        <v>0.09</v>
      </c>
      <c r="L48" s="232">
        <v>0.09</v>
      </c>
      <c r="M48" s="232">
        <v>0.09</v>
      </c>
      <c r="N48" s="232">
        <v>0.09</v>
      </c>
      <c r="O48" s="232">
        <v>0.09</v>
      </c>
      <c r="P48" s="232">
        <v>0.09</v>
      </c>
      <c r="Q48" s="232">
        <v>0.09</v>
      </c>
      <c r="R48" s="232">
        <v>0.09</v>
      </c>
      <c r="S48" s="232">
        <v>0.09</v>
      </c>
      <c r="T48" s="232">
        <v>0.09</v>
      </c>
      <c r="U48" s="232">
        <v>0.09</v>
      </c>
      <c r="V48" s="232">
        <v>0.09</v>
      </c>
      <c r="W48" s="233">
        <f t="shared" si="0"/>
        <v>8.9999999999999983E-2</v>
      </c>
      <c r="X48" s="234"/>
      <c r="Y48" s="203"/>
      <c r="Z48" s="235">
        <v>9</v>
      </c>
      <c r="AA48" s="236">
        <v>9.9261128448196054E-2</v>
      </c>
      <c r="AB48" s="236">
        <v>9.400291301315758E-2</v>
      </c>
      <c r="AC48" s="236">
        <v>8.81922604471303E-2</v>
      </c>
      <c r="AD48" s="236">
        <v>8.3686759225103352E-2</v>
      </c>
      <c r="AE48" s="236">
        <v>8.0005042034847901E-2</v>
      </c>
      <c r="AF48" s="236">
        <v>7.8794186563502275E-2</v>
      </c>
      <c r="AG48" s="236">
        <v>7.9942141410487957E-2</v>
      </c>
      <c r="AH48" s="236">
        <v>6.2101240745129453E-2</v>
      </c>
      <c r="AI48" s="236">
        <v>8.6412584233667489E-2</v>
      </c>
      <c r="AJ48" s="236">
        <v>9.1285289862559293E-2</v>
      </c>
      <c r="AK48" s="236">
        <v>9.71396837526151E-2</v>
      </c>
      <c r="AL48" s="236">
        <v>0.10059047341641328</v>
      </c>
    </row>
    <row r="49" spans="1:38" ht="13.5" thickBot="1">
      <c r="A49" s="209"/>
      <c r="B49" s="209"/>
      <c r="C49" s="209"/>
      <c r="D49" s="209"/>
      <c r="E49" s="209"/>
      <c r="F49" s="209"/>
      <c r="G49" s="204"/>
      <c r="H49" s="204"/>
      <c r="I49" s="224"/>
      <c r="J49" s="231">
        <v>10</v>
      </c>
      <c r="K49" s="232">
        <v>0.04</v>
      </c>
      <c r="L49" s="232">
        <v>0.04</v>
      </c>
      <c r="M49" s="232">
        <v>0.04</v>
      </c>
      <c r="N49" s="232">
        <v>0.04</v>
      </c>
      <c r="O49" s="232">
        <v>0.04</v>
      </c>
      <c r="P49" s="232">
        <v>0.04</v>
      </c>
      <c r="Q49" s="232">
        <v>0.04</v>
      </c>
      <c r="R49" s="232">
        <v>0.04</v>
      </c>
      <c r="S49" s="232">
        <v>0.04</v>
      </c>
      <c r="T49" s="232">
        <v>0.04</v>
      </c>
      <c r="U49" s="232">
        <v>0.04</v>
      </c>
      <c r="V49" s="232">
        <v>0.04</v>
      </c>
      <c r="W49" s="233">
        <f t="shared" si="0"/>
        <v>3.9999999999999994E-2</v>
      </c>
      <c r="X49" s="234"/>
      <c r="Y49" s="203"/>
      <c r="Z49" s="235">
        <v>10</v>
      </c>
      <c r="AA49" s="236">
        <v>0.12004483402847022</v>
      </c>
      <c r="AB49" s="236">
        <v>0.11111504769515267</v>
      </c>
      <c r="AC49" s="236">
        <v>0.10355768142705191</v>
      </c>
      <c r="AD49" s="236">
        <v>9.6187001056970978E-2</v>
      </c>
      <c r="AE49" s="236">
        <v>9.0367404229739254E-2</v>
      </c>
      <c r="AF49" s="236">
        <v>8.8916499025345208E-2</v>
      </c>
      <c r="AG49" s="236">
        <v>9.1220679768170956E-2</v>
      </c>
      <c r="AH49" s="236">
        <v>8.2654685343168E-2</v>
      </c>
      <c r="AI49" s="236">
        <v>0.10147400147187124</v>
      </c>
      <c r="AJ49" s="236">
        <v>0.10921494759653663</v>
      </c>
      <c r="AK49" s="236">
        <v>0.11744633655626503</v>
      </c>
      <c r="AL49" s="236">
        <v>0.12332741773962129</v>
      </c>
    </row>
    <row r="50" spans="1:38" ht="13.5" thickBot="1">
      <c r="A50" s="212"/>
      <c r="B50" s="209"/>
      <c r="C50" s="209"/>
      <c r="D50" s="209"/>
      <c r="E50" s="209"/>
      <c r="F50" s="209"/>
      <c r="G50" s="204"/>
      <c r="H50" s="204"/>
      <c r="I50" s="224"/>
      <c r="J50" s="231">
        <v>11</v>
      </c>
      <c r="K50" s="232">
        <v>0.03</v>
      </c>
      <c r="L50" s="232">
        <v>0.03</v>
      </c>
      <c r="M50" s="232">
        <v>0.03</v>
      </c>
      <c r="N50" s="232">
        <v>0.03</v>
      </c>
      <c r="O50" s="232">
        <v>0.03</v>
      </c>
      <c r="P50" s="232">
        <v>0.03</v>
      </c>
      <c r="Q50" s="232">
        <v>0.03</v>
      </c>
      <c r="R50" s="232">
        <v>0.03</v>
      </c>
      <c r="S50" s="232">
        <v>0.03</v>
      </c>
      <c r="T50" s="232">
        <v>0.03</v>
      </c>
      <c r="U50" s="232">
        <v>0.03</v>
      </c>
      <c r="V50" s="232">
        <v>0.03</v>
      </c>
      <c r="W50" s="233">
        <f t="shared" si="0"/>
        <v>3.0000000000000009E-2</v>
      </c>
      <c r="X50" s="234"/>
      <c r="Y50" s="203"/>
      <c r="Z50" s="235">
        <v>11</v>
      </c>
      <c r="AA50" s="236">
        <v>0.13368404120104996</v>
      </c>
      <c r="AB50" s="236">
        <v>0.12273517132895326</v>
      </c>
      <c r="AC50" s="236">
        <v>0.11399168599691695</v>
      </c>
      <c r="AD50" s="236">
        <v>0.10467538419782721</v>
      </c>
      <c r="AE50" s="236">
        <v>9.7404044139402457E-2</v>
      </c>
      <c r="AF50" s="236">
        <v>9.5790131360084491E-2</v>
      </c>
      <c r="AG50" s="236">
        <v>9.8879455985186965E-2</v>
      </c>
      <c r="AH50" s="236">
        <v>9.9351448524262961E-2</v>
      </c>
      <c r="AI50" s="236">
        <v>0.11170157001668464</v>
      </c>
      <c r="AJ50" s="236">
        <v>0.12139021640153035</v>
      </c>
      <c r="AK50" s="236">
        <v>0.13103152982712432</v>
      </c>
      <c r="AL50" s="236">
        <v>0.13780463941042367</v>
      </c>
    </row>
    <row r="51" spans="1:38" ht="13.5" thickBot="1">
      <c r="A51" s="209"/>
      <c r="B51" s="209"/>
      <c r="C51" s="209"/>
      <c r="D51" s="209"/>
      <c r="E51" s="209"/>
      <c r="F51" s="209"/>
      <c r="G51" s="204"/>
      <c r="H51" s="204"/>
      <c r="I51" s="224"/>
      <c r="J51" s="231">
        <v>12</v>
      </c>
      <c r="K51" s="232">
        <v>0.03</v>
      </c>
      <c r="L51" s="232">
        <v>0.03</v>
      </c>
      <c r="M51" s="232">
        <v>0.03</v>
      </c>
      <c r="N51" s="232">
        <v>0.03</v>
      </c>
      <c r="O51" s="232">
        <v>0.03</v>
      </c>
      <c r="P51" s="232">
        <v>0.03</v>
      </c>
      <c r="Q51" s="232">
        <v>0.03</v>
      </c>
      <c r="R51" s="232">
        <v>0.03</v>
      </c>
      <c r="S51" s="232">
        <v>0.03</v>
      </c>
      <c r="T51" s="232">
        <v>0.03</v>
      </c>
      <c r="U51" s="232">
        <v>0.03</v>
      </c>
      <c r="V51" s="232">
        <v>0.03</v>
      </c>
      <c r="W51" s="233">
        <f t="shared" si="0"/>
        <v>3.0000000000000009E-2</v>
      </c>
      <c r="X51" s="234"/>
      <c r="Y51" s="203"/>
      <c r="Z51" s="235">
        <v>12</v>
      </c>
      <c r="AA51" s="236">
        <v>0.1399474698309735</v>
      </c>
      <c r="AB51" s="236">
        <v>0.1280713916920781</v>
      </c>
      <c r="AC51" s="236">
        <v>0.11878321398829694</v>
      </c>
      <c r="AD51" s="236">
        <v>0.10857343936433902</v>
      </c>
      <c r="AE51" s="236">
        <v>0.10063542638259128</v>
      </c>
      <c r="AF51" s="236">
        <v>9.8946656883322215E-2</v>
      </c>
      <c r="AG51" s="236">
        <v>0.10239653711907247</v>
      </c>
      <c r="AH51" s="236">
        <v>0.11105367347032853</v>
      </c>
      <c r="AI51" s="236">
        <v>0.11639829797363478</v>
      </c>
      <c r="AJ51" s="236">
        <v>0.12698137182906316</v>
      </c>
      <c r="AK51" s="236">
        <v>0.13727015406672166</v>
      </c>
      <c r="AL51" s="236">
        <v>0.14445290301895305</v>
      </c>
    </row>
    <row r="52" spans="1:38" ht="13.5" thickBot="1">
      <c r="A52" s="209"/>
      <c r="B52" s="209"/>
      <c r="C52" s="209"/>
      <c r="D52" s="209"/>
      <c r="E52" s="209"/>
      <c r="F52" s="209"/>
      <c r="G52" s="204"/>
      <c r="H52" s="204"/>
      <c r="I52" s="224"/>
      <c r="J52" s="231">
        <v>13</v>
      </c>
      <c r="K52" s="232">
        <v>0.03</v>
      </c>
      <c r="L52" s="232">
        <v>0.03</v>
      </c>
      <c r="M52" s="232">
        <v>0.03</v>
      </c>
      <c r="N52" s="232">
        <v>0.03</v>
      </c>
      <c r="O52" s="232">
        <v>0.03</v>
      </c>
      <c r="P52" s="232">
        <v>0.03</v>
      </c>
      <c r="Q52" s="232">
        <v>0.03</v>
      </c>
      <c r="R52" s="232">
        <v>0.03</v>
      </c>
      <c r="S52" s="232">
        <v>0.03</v>
      </c>
      <c r="T52" s="232">
        <v>0.03</v>
      </c>
      <c r="U52" s="232">
        <v>0.03</v>
      </c>
      <c r="V52" s="232">
        <v>0.03</v>
      </c>
      <c r="W52" s="233">
        <f t="shared" si="0"/>
        <v>3.0000000000000009E-2</v>
      </c>
      <c r="X52" s="234"/>
      <c r="Y52" s="203"/>
      <c r="Z52" s="235">
        <v>13</v>
      </c>
      <c r="AA52" s="236">
        <v>0.13840827760791696</v>
      </c>
      <c r="AB52" s="236">
        <v>0.12676005418530137</v>
      </c>
      <c r="AC52" s="236">
        <v>0.11760573068695374</v>
      </c>
      <c r="AD52" s="236">
        <v>0.10761552053874944</v>
      </c>
      <c r="AE52" s="236">
        <v>9.9841337599544014E-2</v>
      </c>
      <c r="AF52" s="236">
        <v>9.8170963597054753E-2</v>
      </c>
      <c r="AG52" s="236">
        <v>0.10153223990280456</v>
      </c>
      <c r="AH52" s="236">
        <v>0.11696387289013142</v>
      </c>
      <c r="AI52" s="236">
        <v>0.11524411109416552</v>
      </c>
      <c r="AJ52" s="236">
        <v>0.12560738587656989</v>
      </c>
      <c r="AK52" s="236">
        <v>0.1357370573429425</v>
      </c>
      <c r="AL52" s="236">
        <v>0.14281914038706314</v>
      </c>
    </row>
    <row r="53" spans="1:38" ht="13.5" thickBot="1">
      <c r="A53" s="209"/>
      <c r="B53" s="209"/>
      <c r="C53" s="209"/>
      <c r="D53" s="209"/>
      <c r="E53" s="209"/>
      <c r="F53" s="209"/>
      <c r="G53" s="204"/>
      <c r="H53" s="204"/>
      <c r="I53" s="224"/>
      <c r="J53" s="231">
        <v>14</v>
      </c>
      <c r="K53" s="232">
        <v>0.03</v>
      </c>
      <c r="L53" s="232">
        <v>0.03</v>
      </c>
      <c r="M53" s="232">
        <v>0.03</v>
      </c>
      <c r="N53" s="232">
        <v>0.03</v>
      </c>
      <c r="O53" s="232">
        <v>0.03</v>
      </c>
      <c r="P53" s="232">
        <v>0.03</v>
      </c>
      <c r="Q53" s="232">
        <v>0.03</v>
      </c>
      <c r="R53" s="232">
        <v>0.03</v>
      </c>
      <c r="S53" s="232">
        <v>0.03</v>
      </c>
      <c r="T53" s="232">
        <v>0.03</v>
      </c>
      <c r="U53" s="232">
        <v>0.03</v>
      </c>
      <c r="V53" s="232">
        <v>0.03</v>
      </c>
      <c r="W53" s="233">
        <f t="shared" si="0"/>
        <v>3.0000000000000009E-2</v>
      </c>
      <c r="X53" s="234"/>
      <c r="Y53" s="203"/>
      <c r="Z53" s="235">
        <v>14</v>
      </c>
      <c r="AA53" s="236">
        <v>0.12917135793824605</v>
      </c>
      <c r="AB53" s="236">
        <v>0.11889052429262222</v>
      </c>
      <c r="AC53" s="236">
        <v>0.11053947963399072</v>
      </c>
      <c r="AD53" s="236">
        <v>0.10186690830598667</v>
      </c>
      <c r="AE53" s="236">
        <v>9.5075893628531596E-2</v>
      </c>
      <c r="AF53" s="236">
        <v>9.3515913716847476E-2</v>
      </c>
      <c r="AG53" s="236">
        <v>9.6345464763353247E-2</v>
      </c>
      <c r="AH53" s="236">
        <v>0.11667927646027849</v>
      </c>
      <c r="AI53" s="236">
        <v>0.10831766530672859</v>
      </c>
      <c r="AJ53" s="236">
        <v>0.11736189341609386</v>
      </c>
      <c r="AK53" s="236">
        <v>0.12653671766395022</v>
      </c>
      <c r="AL53" s="236">
        <v>0.13301468973819691</v>
      </c>
    </row>
    <row r="54" spans="1:38" ht="13.5" thickBot="1">
      <c r="A54" s="212"/>
      <c r="B54" s="212"/>
      <c r="C54" s="239"/>
      <c r="D54" s="239"/>
      <c r="E54" s="212"/>
      <c r="F54" s="212"/>
      <c r="G54" s="204"/>
      <c r="H54" s="204"/>
      <c r="I54" s="224"/>
      <c r="J54" s="231">
        <v>15</v>
      </c>
      <c r="K54" s="232">
        <v>0.03</v>
      </c>
      <c r="L54" s="232">
        <v>0.03</v>
      </c>
      <c r="M54" s="232">
        <v>0.03</v>
      </c>
      <c r="N54" s="232">
        <v>0.03</v>
      </c>
      <c r="O54" s="232">
        <v>0.03</v>
      </c>
      <c r="P54" s="232">
        <v>0.03</v>
      </c>
      <c r="Q54" s="232">
        <v>0.03</v>
      </c>
      <c r="R54" s="232">
        <v>0.03</v>
      </c>
      <c r="S54" s="232">
        <v>0.03</v>
      </c>
      <c r="T54" s="232">
        <v>0.03</v>
      </c>
      <c r="U54" s="232">
        <v>0.03</v>
      </c>
      <c r="V54" s="232">
        <v>0.03</v>
      </c>
      <c r="W54" s="233">
        <f t="shared" si="0"/>
        <v>3.0000000000000009E-2</v>
      </c>
      <c r="X54" s="234"/>
      <c r="Y54" s="203"/>
      <c r="Z54" s="235">
        <v>15</v>
      </c>
      <c r="AA54" s="236">
        <v>0.11205999447662664</v>
      </c>
      <c r="AB54" s="236">
        <v>0.10499909747121364</v>
      </c>
      <c r="AC54" s="236">
        <v>9.8066014161135279E-2</v>
      </c>
      <c r="AD54" s="236">
        <v>9.1719361089682594E-2</v>
      </c>
      <c r="AE54" s="236">
        <v>8.6663851600909975E-2</v>
      </c>
      <c r="AF54" s="236">
        <v>8.5298741199202888E-2</v>
      </c>
      <c r="AG54" s="236">
        <v>8.7189681854920889E-2</v>
      </c>
      <c r="AH54" s="236">
        <v>0.11021927895714623</v>
      </c>
      <c r="AI54" s="236">
        <v>9.6090986445245011E-2</v>
      </c>
      <c r="AJ54" s="236">
        <v>0.10280681113249589</v>
      </c>
      <c r="AK54" s="236">
        <v>0.10994707250804509</v>
      </c>
      <c r="AL54" s="236">
        <v>0.11406415018026404</v>
      </c>
    </row>
    <row r="55" spans="1:38" ht="13.5" thickBot="1">
      <c r="A55" s="212"/>
      <c r="B55" s="212"/>
      <c r="C55" s="239"/>
      <c r="D55" s="239"/>
      <c r="E55" s="212"/>
      <c r="F55" s="212"/>
      <c r="G55" s="204"/>
      <c r="H55" s="204"/>
      <c r="I55" s="224"/>
      <c r="J55" s="231">
        <v>16</v>
      </c>
      <c r="K55" s="232">
        <v>0.03</v>
      </c>
      <c r="L55" s="232">
        <v>0.03</v>
      </c>
      <c r="M55" s="232">
        <v>0.03</v>
      </c>
      <c r="N55" s="232">
        <v>0.03</v>
      </c>
      <c r="O55" s="232">
        <v>0.03</v>
      </c>
      <c r="P55" s="232">
        <v>0.03</v>
      </c>
      <c r="Q55" s="232">
        <v>0.03</v>
      </c>
      <c r="R55" s="232">
        <v>0.03</v>
      </c>
      <c r="S55" s="232">
        <v>0.03</v>
      </c>
      <c r="T55" s="232">
        <v>0.03</v>
      </c>
      <c r="U55" s="232">
        <v>0.03</v>
      </c>
      <c r="V55" s="232">
        <v>0.03</v>
      </c>
      <c r="W55" s="233">
        <f t="shared" si="0"/>
        <v>3.0000000000000009E-2</v>
      </c>
      <c r="X55" s="234"/>
      <c r="Y55" s="203"/>
      <c r="Z55" s="235">
        <v>16</v>
      </c>
      <c r="AA55" s="236">
        <v>6.9642946985061169E-2</v>
      </c>
      <c r="AB55" s="236">
        <v>8.005497144130326E-2</v>
      </c>
      <c r="AC55" s="236">
        <v>7.992255313809693E-2</v>
      </c>
      <c r="AD55" s="236">
        <v>7.7854372824524093E-2</v>
      </c>
      <c r="AE55" s="236">
        <v>7.5178478279304878E-2</v>
      </c>
      <c r="AF55" s="236">
        <v>7.4079432771678777E-2</v>
      </c>
      <c r="AG55" s="236">
        <v>7.4688842652070542E-2</v>
      </c>
      <c r="AH55" s="236">
        <v>9.80241185349226E-2</v>
      </c>
      <c r="AI55" s="236">
        <v>7.8965465203227392E-2</v>
      </c>
      <c r="AJ55" s="236">
        <v>7.940989496709977E-2</v>
      </c>
      <c r="AK55" s="236">
        <v>7.3593371518620374E-2</v>
      </c>
      <c r="AL55" s="236">
        <v>5.683695175583682E-2</v>
      </c>
    </row>
    <row r="56" spans="1:38" ht="13.5" thickBot="1">
      <c r="A56" s="212"/>
      <c r="B56" s="212"/>
      <c r="C56" s="239"/>
      <c r="D56" s="239"/>
      <c r="E56" s="212"/>
      <c r="F56" s="212"/>
      <c r="G56" s="204"/>
      <c r="H56" s="204"/>
      <c r="I56" s="224"/>
      <c r="J56" s="231">
        <v>17</v>
      </c>
      <c r="K56" s="232">
        <v>0.04</v>
      </c>
      <c r="L56" s="232">
        <v>0.04</v>
      </c>
      <c r="M56" s="232">
        <v>0.04</v>
      </c>
      <c r="N56" s="232">
        <v>0.04</v>
      </c>
      <c r="O56" s="232">
        <v>0.04</v>
      </c>
      <c r="P56" s="232">
        <v>0.04</v>
      </c>
      <c r="Q56" s="232">
        <v>0.04</v>
      </c>
      <c r="R56" s="232">
        <v>0.04</v>
      </c>
      <c r="S56" s="232">
        <v>0.04</v>
      </c>
      <c r="T56" s="232">
        <v>0.04</v>
      </c>
      <c r="U56" s="232">
        <v>0.04</v>
      </c>
      <c r="V56" s="232">
        <v>0.04</v>
      </c>
      <c r="W56" s="233">
        <f t="shared" si="0"/>
        <v>3.9999999999999994E-2</v>
      </c>
      <c r="X56" s="234"/>
      <c r="Y56" s="203"/>
      <c r="Z56" s="235">
        <v>17</v>
      </c>
      <c r="AA56" s="236">
        <v>0</v>
      </c>
      <c r="AB56" s="236">
        <v>2.5630777744840617E-2</v>
      </c>
      <c r="AC56" s="236">
        <v>4.9789224075984073E-2</v>
      </c>
      <c r="AD56" s="236">
        <v>5.7549716192580772E-2</v>
      </c>
      <c r="AE56" s="236">
        <v>6.0114515473963639E-2</v>
      </c>
      <c r="AF56" s="236">
        <v>5.9954632522703666E-2</v>
      </c>
      <c r="AG56" s="236">
        <v>5.8816888960456816E-2</v>
      </c>
      <c r="AH56" s="236">
        <v>7.725850968393079E-2</v>
      </c>
      <c r="AI56" s="236">
        <v>5.2414325288773246E-2</v>
      </c>
      <c r="AJ56" s="236">
        <v>3.4244606311736349E-2</v>
      </c>
      <c r="AK56" s="236">
        <v>6.0297881583459556E-3</v>
      </c>
      <c r="AL56" s="236">
        <v>0</v>
      </c>
    </row>
    <row r="57" spans="1:38" ht="13.5" thickBot="1">
      <c r="A57" s="212"/>
      <c r="B57" s="212"/>
      <c r="C57" s="239"/>
      <c r="D57" s="239"/>
      <c r="E57" s="212"/>
      <c r="F57" s="212"/>
      <c r="G57" s="204"/>
      <c r="H57" s="204"/>
      <c r="I57" s="224"/>
      <c r="J57" s="231">
        <v>18</v>
      </c>
      <c r="K57" s="232">
        <v>0.06</v>
      </c>
      <c r="L57" s="232">
        <v>0.06</v>
      </c>
      <c r="M57" s="232">
        <v>0.06</v>
      </c>
      <c r="N57" s="232">
        <v>0.06</v>
      </c>
      <c r="O57" s="232">
        <v>0.06</v>
      </c>
      <c r="P57" s="232">
        <v>0.06</v>
      </c>
      <c r="Q57" s="232">
        <v>0.06</v>
      </c>
      <c r="R57" s="232">
        <v>0.06</v>
      </c>
      <c r="S57" s="232">
        <v>0.06</v>
      </c>
      <c r="T57" s="232">
        <v>0.06</v>
      </c>
      <c r="U57" s="232">
        <v>0.06</v>
      </c>
      <c r="V57" s="232">
        <v>0.06</v>
      </c>
      <c r="W57" s="233">
        <f t="shared" si="0"/>
        <v>6.0000000000000019E-2</v>
      </c>
      <c r="X57" s="234"/>
      <c r="Y57" s="203"/>
      <c r="Z57" s="235">
        <v>18</v>
      </c>
      <c r="AA57" s="236">
        <v>0</v>
      </c>
      <c r="AB57" s="236">
        <v>0</v>
      </c>
      <c r="AC57" s="236">
        <v>7.2989065780258598E-3</v>
      </c>
      <c r="AD57" s="236">
        <v>2.9910621036196648E-2</v>
      </c>
      <c r="AE57" s="236">
        <v>3.936144603609696E-2</v>
      </c>
      <c r="AF57" s="236">
        <v>4.0892474237539833E-2</v>
      </c>
      <c r="AG57" s="236">
        <v>3.7862644781547591E-2</v>
      </c>
      <c r="AH57" s="236">
        <v>4.5368136862920135E-2</v>
      </c>
      <c r="AI57" s="236">
        <v>1.463684265008283E-2</v>
      </c>
      <c r="AJ57" s="236">
        <v>0</v>
      </c>
      <c r="AK57" s="236">
        <v>0</v>
      </c>
      <c r="AL57" s="236">
        <v>0</v>
      </c>
    </row>
    <row r="58" spans="1:38" ht="13.5" thickBot="1">
      <c r="A58" s="212"/>
      <c r="B58" s="212"/>
      <c r="C58" s="239"/>
      <c r="D58" s="239"/>
      <c r="E58" s="212"/>
      <c r="F58" s="212"/>
      <c r="G58" s="204"/>
      <c r="H58" s="204"/>
      <c r="I58" s="224"/>
      <c r="J58" s="231">
        <v>19</v>
      </c>
      <c r="K58" s="232">
        <v>0.09</v>
      </c>
      <c r="L58" s="232">
        <v>0.09</v>
      </c>
      <c r="M58" s="232">
        <v>0.09</v>
      </c>
      <c r="N58" s="232">
        <v>0.09</v>
      </c>
      <c r="O58" s="232">
        <v>0.09</v>
      </c>
      <c r="P58" s="232">
        <v>0.09</v>
      </c>
      <c r="Q58" s="232">
        <v>0.09</v>
      </c>
      <c r="R58" s="232">
        <v>0.09</v>
      </c>
      <c r="S58" s="232">
        <v>0.09</v>
      </c>
      <c r="T58" s="232">
        <v>0.09</v>
      </c>
      <c r="U58" s="232">
        <v>0.09</v>
      </c>
      <c r="V58" s="232">
        <v>0.09</v>
      </c>
      <c r="W58" s="233">
        <f t="shared" si="0"/>
        <v>8.9999999999999983E-2</v>
      </c>
      <c r="X58" s="234"/>
      <c r="Y58" s="203"/>
      <c r="Z58" s="235">
        <v>19</v>
      </c>
      <c r="AA58" s="236">
        <v>0</v>
      </c>
      <c r="AB58" s="236">
        <v>0</v>
      </c>
      <c r="AC58" s="236">
        <v>0</v>
      </c>
      <c r="AD58" s="236">
        <v>1.1935929000981315E-3</v>
      </c>
      <c r="AE58" s="236">
        <v>1.4074087448176276E-2</v>
      </c>
      <c r="AF58" s="236">
        <v>1.9870692639881574E-2</v>
      </c>
      <c r="AG58" s="236">
        <v>1.5493308922278421E-2</v>
      </c>
      <c r="AH58" s="236">
        <v>5.4623762241774471E-3</v>
      </c>
      <c r="AI58" s="236">
        <v>0</v>
      </c>
      <c r="AJ58" s="236">
        <v>0</v>
      </c>
      <c r="AK58" s="236">
        <v>0</v>
      </c>
      <c r="AL58" s="236">
        <v>0</v>
      </c>
    </row>
    <row r="59" spans="1:38" ht="13.5" thickBot="1">
      <c r="A59" s="212"/>
      <c r="B59" s="212"/>
      <c r="C59" s="239"/>
      <c r="D59" s="239"/>
      <c r="E59" s="212"/>
      <c r="F59" s="212"/>
      <c r="G59" s="204"/>
      <c r="H59" s="204"/>
      <c r="I59" s="224"/>
      <c r="J59" s="231">
        <v>20</v>
      </c>
      <c r="K59" s="232">
        <v>0.09</v>
      </c>
      <c r="L59" s="232">
        <v>0.09</v>
      </c>
      <c r="M59" s="232">
        <v>0.09</v>
      </c>
      <c r="N59" s="232">
        <v>0.09</v>
      </c>
      <c r="O59" s="232">
        <v>0.09</v>
      </c>
      <c r="P59" s="232">
        <v>0.09</v>
      </c>
      <c r="Q59" s="232">
        <v>0.09</v>
      </c>
      <c r="R59" s="232">
        <v>0.09</v>
      </c>
      <c r="S59" s="232">
        <v>0.09</v>
      </c>
      <c r="T59" s="232">
        <v>0.09</v>
      </c>
      <c r="U59" s="232">
        <v>0.09</v>
      </c>
      <c r="V59" s="232">
        <v>0.09</v>
      </c>
      <c r="W59" s="233">
        <f t="shared" si="0"/>
        <v>8.9999999999999983E-2</v>
      </c>
      <c r="X59" s="234"/>
      <c r="Y59" s="203"/>
      <c r="Z59" s="235">
        <v>20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  <c r="AF59" s="236">
        <v>0</v>
      </c>
      <c r="AG59" s="236">
        <v>0</v>
      </c>
      <c r="AH59" s="236">
        <v>0</v>
      </c>
      <c r="AI59" s="236">
        <v>0</v>
      </c>
      <c r="AJ59" s="236">
        <v>0</v>
      </c>
      <c r="AK59" s="236">
        <v>0</v>
      </c>
      <c r="AL59" s="236">
        <v>0</v>
      </c>
    </row>
    <row r="60" spans="1:38" ht="13.5" thickBot="1">
      <c r="A60" s="212"/>
      <c r="B60" s="212"/>
      <c r="C60" s="239"/>
      <c r="D60" s="239"/>
      <c r="E60" s="212"/>
      <c r="F60" s="212"/>
      <c r="G60" s="204"/>
      <c r="H60" s="204"/>
      <c r="I60" s="224"/>
      <c r="J60" s="231">
        <v>21</v>
      </c>
      <c r="K60" s="232">
        <v>0.05</v>
      </c>
      <c r="L60" s="232">
        <v>0.05</v>
      </c>
      <c r="M60" s="232">
        <v>0.05</v>
      </c>
      <c r="N60" s="232">
        <v>0.05</v>
      </c>
      <c r="O60" s="232">
        <v>0.05</v>
      </c>
      <c r="P60" s="232">
        <v>0.05</v>
      </c>
      <c r="Q60" s="232">
        <v>0.05</v>
      </c>
      <c r="R60" s="232">
        <v>0.05</v>
      </c>
      <c r="S60" s="232">
        <v>0.05</v>
      </c>
      <c r="T60" s="232">
        <v>0.05</v>
      </c>
      <c r="U60" s="232">
        <v>0.05</v>
      </c>
      <c r="V60" s="232">
        <v>0.05</v>
      </c>
      <c r="W60" s="233">
        <f t="shared" si="0"/>
        <v>4.9999999999999996E-2</v>
      </c>
      <c r="X60" s="234"/>
      <c r="Y60" s="203"/>
      <c r="Z60" s="235">
        <v>21</v>
      </c>
      <c r="AA60" s="236">
        <v>0</v>
      </c>
      <c r="AB60" s="236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</row>
    <row r="61" spans="1:38" ht="13.5" thickBot="1">
      <c r="A61" s="212"/>
      <c r="B61" s="212"/>
      <c r="C61" s="239"/>
      <c r="D61" s="239"/>
      <c r="E61" s="212"/>
      <c r="F61" s="212"/>
      <c r="G61" s="204"/>
      <c r="H61" s="204"/>
      <c r="I61" s="224"/>
      <c r="J61" s="231">
        <v>22</v>
      </c>
      <c r="K61" s="232">
        <v>0.04</v>
      </c>
      <c r="L61" s="232">
        <v>0.04</v>
      </c>
      <c r="M61" s="232">
        <v>0.04</v>
      </c>
      <c r="N61" s="232">
        <v>0.04</v>
      </c>
      <c r="O61" s="232">
        <v>0.04</v>
      </c>
      <c r="P61" s="232">
        <v>0.04</v>
      </c>
      <c r="Q61" s="232">
        <v>0.04</v>
      </c>
      <c r="R61" s="232">
        <v>0.04</v>
      </c>
      <c r="S61" s="232">
        <v>0.04</v>
      </c>
      <c r="T61" s="232">
        <v>0.04</v>
      </c>
      <c r="U61" s="232">
        <v>0.04</v>
      </c>
      <c r="V61" s="232">
        <v>0.04</v>
      </c>
      <c r="W61" s="233">
        <f t="shared" si="0"/>
        <v>3.9999999999999994E-2</v>
      </c>
      <c r="X61" s="234"/>
      <c r="Y61" s="203"/>
      <c r="Z61" s="235">
        <v>22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  <c r="AF61" s="236">
        <v>0</v>
      </c>
      <c r="AG61" s="236">
        <v>0</v>
      </c>
      <c r="AH61" s="236">
        <v>0</v>
      </c>
      <c r="AI61" s="236">
        <v>0</v>
      </c>
      <c r="AJ61" s="236">
        <v>0</v>
      </c>
      <c r="AK61" s="236">
        <v>0</v>
      </c>
      <c r="AL61" s="236">
        <v>0</v>
      </c>
    </row>
    <row r="62" spans="1:38" ht="13.5" thickBot="1">
      <c r="A62" s="212"/>
      <c r="B62" s="212"/>
      <c r="C62" s="239"/>
      <c r="D62" s="239"/>
      <c r="E62" s="212"/>
      <c r="F62" s="212"/>
      <c r="G62" s="204"/>
      <c r="H62" s="204"/>
      <c r="I62" s="224"/>
      <c r="J62" s="240">
        <v>23</v>
      </c>
      <c r="K62" s="232">
        <v>0.03</v>
      </c>
      <c r="L62" s="232">
        <v>0.03</v>
      </c>
      <c r="M62" s="232">
        <v>0.03</v>
      </c>
      <c r="N62" s="232">
        <v>0.03</v>
      </c>
      <c r="O62" s="232">
        <v>0.03</v>
      </c>
      <c r="P62" s="232">
        <v>0.03</v>
      </c>
      <c r="Q62" s="232">
        <v>0.03</v>
      </c>
      <c r="R62" s="232">
        <v>0.03</v>
      </c>
      <c r="S62" s="232">
        <v>0.03</v>
      </c>
      <c r="T62" s="232">
        <v>0.03</v>
      </c>
      <c r="U62" s="232">
        <v>0.03</v>
      </c>
      <c r="V62" s="232">
        <v>0.03</v>
      </c>
      <c r="W62" s="233">
        <f t="shared" si="0"/>
        <v>3.0000000000000009E-2</v>
      </c>
      <c r="X62" s="234"/>
      <c r="Y62" s="203"/>
      <c r="Z62" s="235">
        <v>23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  <c r="AF62" s="236">
        <v>0</v>
      </c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v>0</v>
      </c>
    </row>
    <row r="63" spans="1:38">
      <c r="A63" s="212"/>
      <c r="B63" s="212"/>
      <c r="C63" s="239"/>
      <c r="D63" s="239"/>
      <c r="E63" s="212"/>
      <c r="F63" s="212"/>
      <c r="G63" s="204"/>
      <c r="H63" s="204"/>
      <c r="I63" s="538" t="s">
        <v>236</v>
      </c>
      <c r="J63" s="539"/>
      <c r="K63" s="241">
        <f>SUM(K39:K62)</f>
        <v>1.0000000000000002</v>
      </c>
      <c r="L63" s="241">
        <f t="shared" ref="L63:V63" si="1">SUM(L39:L62)</f>
        <v>1.0000000000000002</v>
      </c>
      <c r="M63" s="241">
        <f t="shared" si="1"/>
        <v>1.0000000000000002</v>
      </c>
      <c r="N63" s="241">
        <f t="shared" si="1"/>
        <v>1.0000000000000002</v>
      </c>
      <c r="O63" s="241">
        <f t="shared" si="1"/>
        <v>1.0000000000000002</v>
      </c>
      <c r="P63" s="241">
        <f t="shared" si="1"/>
        <v>1.0000000000000002</v>
      </c>
      <c r="Q63" s="241">
        <f t="shared" si="1"/>
        <v>1.0000000000000002</v>
      </c>
      <c r="R63" s="241">
        <f t="shared" si="1"/>
        <v>1.0000000000000002</v>
      </c>
      <c r="S63" s="241">
        <f t="shared" si="1"/>
        <v>1.0000000000000002</v>
      </c>
      <c r="T63" s="241">
        <f t="shared" si="1"/>
        <v>1.0000000000000002</v>
      </c>
      <c r="U63" s="241">
        <f t="shared" si="1"/>
        <v>1.0000000000000002</v>
      </c>
      <c r="V63" s="241">
        <f t="shared" si="1"/>
        <v>1.0000000000000002</v>
      </c>
      <c r="W63" s="242">
        <f>SUM(W39:W62)</f>
        <v>1.0000000000000002</v>
      </c>
      <c r="X63" s="243"/>
      <c r="Y63" s="203"/>
      <c r="Z63" s="244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</row>
    <row r="64" spans="1:38">
      <c r="A64" s="212"/>
      <c r="B64" s="212"/>
      <c r="C64" s="239"/>
      <c r="D64" s="239"/>
      <c r="E64" s="212"/>
      <c r="F64" s="212"/>
      <c r="G64" s="204"/>
      <c r="H64" s="204"/>
      <c r="I64" s="526"/>
      <c r="J64" s="527"/>
      <c r="K64" s="230" t="str">
        <f>IF(K63=100%,"OK","NO")</f>
        <v>OK</v>
      </c>
      <c r="L64" s="230" t="str">
        <f t="shared" ref="L64:W64" si="2">IF(L63=100%,"OK","NO")</f>
        <v>OK</v>
      </c>
      <c r="M64" s="230" t="str">
        <f t="shared" si="2"/>
        <v>OK</v>
      </c>
      <c r="N64" s="230" t="str">
        <f t="shared" si="2"/>
        <v>OK</v>
      </c>
      <c r="O64" s="230" t="str">
        <f t="shared" si="2"/>
        <v>OK</v>
      </c>
      <c r="P64" s="230" t="str">
        <f t="shared" si="2"/>
        <v>OK</v>
      </c>
      <c r="Q64" s="230" t="str">
        <f t="shared" si="2"/>
        <v>OK</v>
      </c>
      <c r="R64" s="230" t="str">
        <f t="shared" si="2"/>
        <v>OK</v>
      </c>
      <c r="S64" s="230" t="str">
        <f t="shared" si="2"/>
        <v>OK</v>
      </c>
      <c r="T64" s="230" t="str">
        <f t="shared" si="2"/>
        <v>OK</v>
      </c>
      <c r="U64" s="230" t="str">
        <f t="shared" si="2"/>
        <v>OK</v>
      </c>
      <c r="V64" s="230" t="str">
        <f t="shared" si="2"/>
        <v>OK</v>
      </c>
      <c r="W64" s="245" t="str">
        <f t="shared" si="2"/>
        <v>OK</v>
      </c>
      <c r="X64" s="246"/>
      <c r="Y64" s="203"/>
      <c r="Z64" s="247" t="s">
        <v>237</v>
      </c>
      <c r="AA64" s="248">
        <f t="shared" ref="AA64:AL64" si="3">SUM(AA39:AA62)</f>
        <v>1</v>
      </c>
      <c r="AB64" s="248">
        <f t="shared" si="3"/>
        <v>0.99999999999999967</v>
      </c>
      <c r="AC64" s="248">
        <f t="shared" si="3"/>
        <v>1</v>
      </c>
      <c r="AD64" s="248">
        <f t="shared" si="3"/>
        <v>0.99999999999999989</v>
      </c>
      <c r="AE64" s="248">
        <f t="shared" si="3"/>
        <v>1</v>
      </c>
      <c r="AF64" s="248">
        <f t="shared" si="3"/>
        <v>1</v>
      </c>
      <c r="AG64" s="248">
        <f t="shared" si="3"/>
        <v>1</v>
      </c>
      <c r="AH64" s="248">
        <f t="shared" si="3"/>
        <v>1.0000000000000002</v>
      </c>
      <c r="AI64" s="248">
        <f t="shared" si="3"/>
        <v>1.0000000000000002</v>
      </c>
      <c r="AJ64" s="248">
        <f t="shared" si="3"/>
        <v>0.99999999999999956</v>
      </c>
      <c r="AK64" s="248">
        <f t="shared" si="3"/>
        <v>1</v>
      </c>
      <c r="AL64" s="248">
        <f t="shared" si="3"/>
        <v>1</v>
      </c>
    </row>
    <row r="65" spans="1:39">
      <c r="A65" s="212"/>
      <c r="B65" s="212"/>
      <c r="C65" s="239"/>
      <c r="D65" s="239"/>
      <c r="E65" s="212"/>
      <c r="F65" s="212"/>
      <c r="G65" s="204"/>
      <c r="H65" s="204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</row>
    <row r="66" spans="1:39">
      <c r="A66" s="209"/>
      <c r="B66" s="212"/>
      <c r="C66" s="212"/>
      <c r="D66" s="239"/>
      <c r="E66" s="286"/>
      <c r="F66" s="212"/>
      <c r="G66" s="204"/>
      <c r="H66" s="204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</row>
    <row r="67" spans="1:39">
      <c r="A67" s="209"/>
      <c r="B67" s="287"/>
      <c r="C67" s="209"/>
      <c r="D67" s="209"/>
      <c r="E67" s="209"/>
      <c r="F67" s="209"/>
      <c r="G67" s="204"/>
      <c r="H67" s="204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49"/>
    </row>
    <row r="68" spans="1:39">
      <c r="A68" s="209"/>
      <c r="B68" s="209"/>
      <c r="C68" s="209"/>
      <c r="D68" s="209"/>
      <c r="E68" s="212"/>
      <c r="F68" s="209"/>
      <c r="G68" s="204"/>
      <c r="H68" s="204"/>
      <c r="I68" s="224"/>
      <c r="J68" s="548" t="s">
        <v>238</v>
      </c>
      <c r="K68" s="549"/>
      <c r="L68" s="549"/>
      <c r="M68" s="549"/>
      <c r="N68" s="549"/>
      <c r="O68" s="549"/>
      <c r="P68" s="549"/>
      <c r="Q68" s="549"/>
      <c r="R68" s="549"/>
      <c r="S68" s="549"/>
      <c r="T68" s="549"/>
      <c r="U68" s="549"/>
      <c r="V68" s="550"/>
      <c r="W68" s="209"/>
      <c r="X68" s="209"/>
      <c r="Y68" s="209"/>
      <c r="Z68" s="535" t="s">
        <v>239</v>
      </c>
      <c r="AA68" s="536"/>
      <c r="AB68" s="536"/>
      <c r="AC68" s="536"/>
      <c r="AD68" s="536"/>
      <c r="AE68" s="536"/>
      <c r="AF68" s="536"/>
      <c r="AG68" s="536"/>
      <c r="AH68" s="536"/>
      <c r="AI68" s="536"/>
      <c r="AJ68" s="536"/>
      <c r="AK68" s="536"/>
      <c r="AL68" s="537"/>
      <c r="AM68" s="249"/>
    </row>
    <row r="69" spans="1:39" ht="24.75" thickBot="1">
      <c r="A69" s="237"/>
      <c r="B69" s="209"/>
      <c r="C69" s="209"/>
      <c r="D69" s="209"/>
      <c r="E69" s="209"/>
      <c r="F69" s="209"/>
      <c r="G69" s="204"/>
      <c r="H69" s="204"/>
      <c r="I69" s="224"/>
      <c r="J69" s="225" t="s">
        <v>222</v>
      </c>
      <c r="K69" s="230" t="s">
        <v>223</v>
      </c>
      <c r="L69" s="230" t="s">
        <v>224</v>
      </c>
      <c r="M69" s="230" t="s">
        <v>225</v>
      </c>
      <c r="N69" s="230" t="s">
        <v>226</v>
      </c>
      <c r="O69" s="230" t="s">
        <v>227</v>
      </c>
      <c r="P69" s="230" t="s">
        <v>228</v>
      </c>
      <c r="Q69" s="230" t="s">
        <v>229</v>
      </c>
      <c r="R69" s="230" t="s">
        <v>230</v>
      </c>
      <c r="S69" s="230" t="s">
        <v>231</v>
      </c>
      <c r="T69" s="230" t="s">
        <v>232</v>
      </c>
      <c r="U69" s="230" t="s">
        <v>233</v>
      </c>
      <c r="V69" s="230" t="s">
        <v>234</v>
      </c>
      <c r="W69" s="209"/>
      <c r="X69" s="209"/>
      <c r="Y69" s="209"/>
      <c r="Z69" s="229" t="s">
        <v>222</v>
      </c>
      <c r="AA69" s="230" t="s">
        <v>223</v>
      </c>
      <c r="AB69" s="230" t="s">
        <v>224</v>
      </c>
      <c r="AC69" s="230" t="s">
        <v>225</v>
      </c>
      <c r="AD69" s="230" t="s">
        <v>226</v>
      </c>
      <c r="AE69" s="230" t="s">
        <v>227</v>
      </c>
      <c r="AF69" s="230" t="s">
        <v>228</v>
      </c>
      <c r="AG69" s="230" t="s">
        <v>229</v>
      </c>
      <c r="AH69" s="230" t="s">
        <v>230</v>
      </c>
      <c r="AI69" s="230" t="s">
        <v>231</v>
      </c>
      <c r="AJ69" s="230" t="s">
        <v>232</v>
      </c>
      <c r="AK69" s="230" t="s">
        <v>233</v>
      </c>
      <c r="AL69" s="230" t="s">
        <v>234</v>
      </c>
      <c r="AM69" s="249"/>
    </row>
    <row r="70" spans="1:39" ht="13.5" thickBot="1">
      <c r="A70" s="288"/>
      <c r="B70" s="209"/>
      <c r="C70" s="209"/>
      <c r="D70" s="209"/>
      <c r="E70" s="209"/>
      <c r="F70" s="209"/>
      <c r="G70" s="204"/>
      <c r="H70" s="204"/>
      <c r="I70" s="224"/>
      <c r="J70" s="231">
        <v>0</v>
      </c>
      <c r="K70" s="301">
        <f>$J$168*K39/31</f>
        <v>0.17419354838709675</v>
      </c>
      <c r="L70" s="301">
        <f>$K$168*L39/31</f>
        <v>0.14032258064516129</v>
      </c>
      <c r="M70" s="301">
        <f>$L$168*M39/31</f>
        <v>0.15483870967741936</v>
      </c>
      <c r="N70" s="301">
        <f>$M$168*N39/31</f>
        <v>0.16209677419354837</v>
      </c>
      <c r="O70" s="301">
        <f>$N$168*O39/31</f>
        <v>0.19354838709677419</v>
      </c>
      <c r="P70" s="301">
        <f>$O$168*P39/31</f>
        <v>0.25887096774193552</v>
      </c>
      <c r="Q70" s="301">
        <f>$J$170*Q39/31</f>
        <v>0.30967741935483872</v>
      </c>
      <c r="R70" s="301">
        <f>$K$170*R39/31</f>
        <v>0.28306451612903227</v>
      </c>
      <c r="S70" s="301">
        <f>$L$170*S39/31</f>
        <v>0.25403225806451613</v>
      </c>
      <c r="T70" s="301">
        <f>$M$170*T39/31</f>
        <v>0.15</v>
      </c>
      <c r="U70" s="301">
        <f>$N$170*U39/31</f>
        <v>0.16451612903225804</v>
      </c>
      <c r="V70" s="301">
        <f>$O$170*V39/31</f>
        <v>0.17419354838709675</v>
      </c>
      <c r="W70" s="209"/>
      <c r="X70" s="209"/>
      <c r="Y70" s="209"/>
      <c r="Z70" s="235">
        <v>0</v>
      </c>
      <c r="AA70" s="305">
        <f>$J$180*AA39/31</f>
        <v>0</v>
      </c>
      <c r="AB70" s="305">
        <f>$K$180*AB39/31</f>
        <v>0</v>
      </c>
      <c r="AC70" s="305">
        <f>$L$180*AC39/31</f>
        <v>0</v>
      </c>
      <c r="AD70" s="305">
        <f>$M$180*AD39/31</f>
        <v>0</v>
      </c>
      <c r="AE70" s="305">
        <f>$N$180*AE39/31</f>
        <v>0</v>
      </c>
      <c r="AF70" s="305">
        <f>$O$180*AF39/31</f>
        <v>0</v>
      </c>
      <c r="AG70" s="305">
        <f>$J$182*AG39/31</f>
        <v>0</v>
      </c>
      <c r="AH70" s="305">
        <f>$K$182*AH39/31</f>
        <v>0</v>
      </c>
      <c r="AI70" s="305">
        <f>$L$182*AI39/31</f>
        <v>0</v>
      </c>
      <c r="AJ70" s="305">
        <f>$M$182*AJ39/31</f>
        <v>0</v>
      </c>
      <c r="AK70" s="305">
        <f>$N$182*AK39/31</f>
        <v>0</v>
      </c>
      <c r="AL70" s="305">
        <f>$O$182*AL39/31</f>
        <v>0</v>
      </c>
      <c r="AM70" s="249"/>
    </row>
    <row r="71" spans="1:39" ht="13.5" thickBot="1">
      <c r="A71" s="251"/>
      <c r="B71" s="209"/>
      <c r="C71" s="209"/>
      <c r="D71" s="209"/>
      <c r="E71" s="209"/>
      <c r="F71" s="209"/>
      <c r="G71" s="204"/>
      <c r="H71" s="204"/>
      <c r="I71" s="224"/>
      <c r="J71" s="231">
        <v>1</v>
      </c>
      <c r="K71" s="301">
        <f t="shared" ref="K71:K93" si="4">$J$168*K40/31</f>
        <v>0.11612903225806452</v>
      </c>
      <c r="L71" s="301">
        <f t="shared" ref="L71:L93" si="5">$K$168*L40/31</f>
        <v>9.3548387096774197E-2</v>
      </c>
      <c r="M71" s="301">
        <f t="shared" ref="M71:M93" si="6">$L$168*M40/31</f>
        <v>0.1032258064516129</v>
      </c>
      <c r="N71" s="301">
        <f t="shared" ref="N71:N93" si="7">$M$168*N40/31</f>
        <v>0.10806451612903226</v>
      </c>
      <c r="O71" s="301">
        <f t="shared" ref="O71:O93" si="8">$N$168*O40/31</f>
        <v>0.12903225806451613</v>
      </c>
      <c r="P71" s="301">
        <f t="shared" ref="P71:P93" si="9">$O$168*P40/31</f>
        <v>0.17258064516129035</v>
      </c>
      <c r="Q71" s="301">
        <f t="shared" ref="Q71:Q93" si="10">$J$170*Q40/31</f>
        <v>0.20645161290322581</v>
      </c>
      <c r="R71" s="301">
        <f t="shared" ref="R71:R93" si="11">$K$170*R40/31</f>
        <v>0.18870967741935485</v>
      </c>
      <c r="S71" s="301">
        <f t="shared" ref="S71:S93" si="12">$L$170*S40/31</f>
        <v>0.16935483870967741</v>
      </c>
      <c r="T71" s="301">
        <f t="shared" ref="T71:T93" si="13">$M$170*T40/31</f>
        <v>0.1</v>
      </c>
      <c r="U71" s="301">
        <f t="shared" ref="U71:U93" si="14">$N$170*U40/31</f>
        <v>0.10967741935483871</v>
      </c>
      <c r="V71" s="301">
        <f t="shared" ref="V71:V93" si="15">$O$170*V40/31</f>
        <v>0.11612903225806452</v>
      </c>
      <c r="W71" s="209"/>
      <c r="X71" s="209"/>
      <c r="Y71" s="209"/>
      <c r="Z71" s="235">
        <v>1</v>
      </c>
      <c r="AA71" s="305">
        <f t="shared" ref="AA71:AA93" si="16">$J$180*AA40/31</f>
        <v>0</v>
      </c>
      <c r="AB71" s="305">
        <f t="shared" ref="AB71:AB93" si="17">$K$180*AB40/31</f>
        <v>0</v>
      </c>
      <c r="AC71" s="305">
        <f t="shared" ref="AC71:AC93" si="18">$L$180*AC40/31</f>
        <v>0</v>
      </c>
      <c r="AD71" s="305">
        <f t="shared" ref="AD71:AD93" si="19">$M$180*AD40/31</f>
        <v>0</v>
      </c>
      <c r="AE71" s="305">
        <f t="shared" ref="AE71:AE93" si="20">$N$180*AE40/31</f>
        <v>0</v>
      </c>
      <c r="AF71" s="305">
        <f t="shared" ref="AF71:AF93" si="21">$O$180*AF40/31</f>
        <v>0</v>
      </c>
      <c r="AG71" s="305">
        <f t="shared" ref="AG71:AG93" si="22">$J$182*AG40/31</f>
        <v>0</v>
      </c>
      <c r="AH71" s="305">
        <f t="shared" ref="AH71:AH93" si="23">$K$182*AH40/31</f>
        <v>0</v>
      </c>
      <c r="AI71" s="305">
        <f t="shared" ref="AI71:AI93" si="24">$L$182*AI40/31</f>
        <v>0</v>
      </c>
      <c r="AJ71" s="305">
        <f t="shared" ref="AJ71:AJ93" si="25">$M$182*AJ40/31</f>
        <v>0</v>
      </c>
      <c r="AK71" s="305">
        <f t="shared" ref="AK71:AK93" si="26">$N$182*AK40/31</f>
        <v>0</v>
      </c>
      <c r="AL71" s="305">
        <f t="shared" ref="AL71:AL93" si="27">$O$182*AL40/31</f>
        <v>0</v>
      </c>
      <c r="AM71" s="249"/>
    </row>
    <row r="72" spans="1:39" ht="13.5" thickBot="1">
      <c r="A72" s="251"/>
      <c r="B72" s="531"/>
      <c r="C72" s="531"/>
      <c r="D72" s="209"/>
      <c r="E72" s="209"/>
      <c r="F72" s="209"/>
      <c r="G72" s="203"/>
      <c r="H72" s="203"/>
      <c r="I72" s="224"/>
      <c r="J72" s="231">
        <v>2</v>
      </c>
      <c r="K72" s="301">
        <f t="shared" si="4"/>
        <v>0.11612903225806452</v>
      </c>
      <c r="L72" s="301">
        <f t="shared" si="5"/>
        <v>9.3548387096774197E-2</v>
      </c>
      <c r="M72" s="301">
        <f t="shared" si="6"/>
        <v>0.1032258064516129</v>
      </c>
      <c r="N72" s="301">
        <f t="shared" si="7"/>
        <v>0.10806451612903226</v>
      </c>
      <c r="O72" s="301">
        <f t="shared" si="8"/>
        <v>0.12903225806451613</v>
      </c>
      <c r="P72" s="301">
        <f t="shared" si="9"/>
        <v>0.17258064516129035</v>
      </c>
      <c r="Q72" s="301">
        <f t="shared" si="10"/>
        <v>0.20645161290322581</v>
      </c>
      <c r="R72" s="301">
        <f t="shared" si="11"/>
        <v>0.18870967741935485</v>
      </c>
      <c r="S72" s="301">
        <f t="shared" si="12"/>
        <v>0.16935483870967741</v>
      </c>
      <c r="T72" s="301">
        <f t="shared" si="13"/>
        <v>0.1</v>
      </c>
      <c r="U72" s="301">
        <f t="shared" si="14"/>
        <v>0.10967741935483871</v>
      </c>
      <c r="V72" s="301">
        <f t="shared" si="15"/>
        <v>0.11612903225806452</v>
      </c>
      <c r="W72" s="209"/>
      <c r="X72" s="209"/>
      <c r="Y72" s="209"/>
      <c r="Z72" s="235">
        <v>2</v>
      </c>
      <c r="AA72" s="305">
        <f t="shared" si="16"/>
        <v>0</v>
      </c>
      <c r="AB72" s="305">
        <f t="shared" si="17"/>
        <v>0</v>
      </c>
      <c r="AC72" s="305">
        <f t="shared" si="18"/>
        <v>0</v>
      </c>
      <c r="AD72" s="305">
        <f t="shared" si="19"/>
        <v>0</v>
      </c>
      <c r="AE72" s="305">
        <f t="shared" si="20"/>
        <v>0</v>
      </c>
      <c r="AF72" s="305">
        <f t="shared" si="21"/>
        <v>0</v>
      </c>
      <c r="AG72" s="305">
        <f t="shared" si="22"/>
        <v>0</v>
      </c>
      <c r="AH72" s="305">
        <f t="shared" si="23"/>
        <v>0</v>
      </c>
      <c r="AI72" s="305">
        <f t="shared" si="24"/>
        <v>0</v>
      </c>
      <c r="AJ72" s="305">
        <f t="shared" si="25"/>
        <v>0</v>
      </c>
      <c r="AK72" s="305">
        <f t="shared" si="26"/>
        <v>0</v>
      </c>
      <c r="AL72" s="305">
        <f t="shared" si="27"/>
        <v>0</v>
      </c>
      <c r="AM72" s="249"/>
    </row>
    <row r="73" spans="1:39" ht="13.5" thickBot="1">
      <c r="A73" s="251"/>
      <c r="B73" s="277"/>
      <c r="C73" s="277"/>
      <c r="D73" s="209"/>
      <c r="E73" s="209"/>
      <c r="F73" s="209"/>
      <c r="G73" s="203"/>
      <c r="H73" s="203"/>
      <c r="I73" s="224"/>
      <c r="J73" s="231">
        <v>3</v>
      </c>
      <c r="K73" s="301">
        <f t="shared" si="4"/>
        <v>0.11612903225806452</v>
      </c>
      <c r="L73" s="301">
        <f t="shared" si="5"/>
        <v>9.3548387096774197E-2</v>
      </c>
      <c r="M73" s="301">
        <f t="shared" si="6"/>
        <v>0.1032258064516129</v>
      </c>
      <c r="N73" s="301">
        <f t="shared" si="7"/>
        <v>0.10806451612903226</v>
      </c>
      <c r="O73" s="301">
        <f t="shared" si="8"/>
        <v>0.12903225806451613</v>
      </c>
      <c r="P73" s="301">
        <f t="shared" si="9"/>
        <v>0.17258064516129035</v>
      </c>
      <c r="Q73" s="301">
        <f t="shared" si="10"/>
        <v>0.20645161290322581</v>
      </c>
      <c r="R73" s="301">
        <f t="shared" si="11"/>
        <v>0.18870967741935485</v>
      </c>
      <c r="S73" s="301">
        <f t="shared" si="12"/>
        <v>0.16935483870967741</v>
      </c>
      <c r="T73" s="301">
        <f t="shared" si="13"/>
        <v>0.1</v>
      </c>
      <c r="U73" s="301">
        <f t="shared" si="14"/>
        <v>0.10967741935483871</v>
      </c>
      <c r="V73" s="301">
        <f t="shared" si="15"/>
        <v>0.11612903225806452</v>
      </c>
      <c r="W73" s="209"/>
      <c r="X73" s="209"/>
      <c r="Y73" s="209"/>
      <c r="Z73" s="235">
        <v>3</v>
      </c>
      <c r="AA73" s="305">
        <f t="shared" si="16"/>
        <v>0</v>
      </c>
      <c r="AB73" s="305">
        <f t="shared" si="17"/>
        <v>0</v>
      </c>
      <c r="AC73" s="305">
        <f t="shared" si="18"/>
        <v>0</v>
      </c>
      <c r="AD73" s="305">
        <f t="shared" si="19"/>
        <v>0</v>
      </c>
      <c r="AE73" s="305">
        <f t="shared" si="20"/>
        <v>0</v>
      </c>
      <c r="AF73" s="305">
        <f t="shared" si="21"/>
        <v>0</v>
      </c>
      <c r="AG73" s="305">
        <f t="shared" si="22"/>
        <v>0</v>
      </c>
      <c r="AH73" s="305">
        <f t="shared" si="23"/>
        <v>0</v>
      </c>
      <c r="AI73" s="305">
        <f t="shared" si="24"/>
        <v>0</v>
      </c>
      <c r="AJ73" s="305">
        <f t="shared" si="25"/>
        <v>0</v>
      </c>
      <c r="AK73" s="305">
        <f t="shared" si="26"/>
        <v>0</v>
      </c>
      <c r="AL73" s="305">
        <f t="shared" si="27"/>
        <v>0</v>
      </c>
      <c r="AM73" s="249"/>
    </row>
    <row r="74" spans="1:39" ht="13.5" thickBot="1">
      <c r="A74" s="251"/>
      <c r="B74" s="277"/>
      <c r="C74" s="277"/>
      <c r="D74" s="209"/>
      <c r="E74" s="209"/>
      <c r="F74" s="209"/>
      <c r="G74" s="203"/>
      <c r="H74" s="203"/>
      <c r="I74" s="224"/>
      <c r="J74" s="231">
        <v>4</v>
      </c>
      <c r="K74" s="301">
        <f t="shared" si="4"/>
        <v>0.11612903225806452</v>
      </c>
      <c r="L74" s="301">
        <f t="shared" si="5"/>
        <v>9.3548387096774197E-2</v>
      </c>
      <c r="M74" s="301">
        <f t="shared" si="6"/>
        <v>0.1032258064516129</v>
      </c>
      <c r="N74" s="301">
        <f t="shared" si="7"/>
        <v>0.10806451612903226</v>
      </c>
      <c r="O74" s="301">
        <f t="shared" si="8"/>
        <v>0.12903225806451613</v>
      </c>
      <c r="P74" s="301">
        <f t="shared" si="9"/>
        <v>0.17258064516129035</v>
      </c>
      <c r="Q74" s="301">
        <f t="shared" si="10"/>
        <v>0.20645161290322581</v>
      </c>
      <c r="R74" s="301">
        <f t="shared" si="11"/>
        <v>0.18870967741935485</v>
      </c>
      <c r="S74" s="301">
        <f t="shared" si="12"/>
        <v>0.16935483870967741</v>
      </c>
      <c r="T74" s="301">
        <f t="shared" si="13"/>
        <v>0.1</v>
      </c>
      <c r="U74" s="301">
        <f t="shared" si="14"/>
        <v>0.10967741935483871</v>
      </c>
      <c r="V74" s="301">
        <f t="shared" si="15"/>
        <v>0.11612903225806452</v>
      </c>
      <c r="W74" s="209"/>
      <c r="X74" s="209"/>
      <c r="Y74" s="209"/>
      <c r="Z74" s="235">
        <v>4</v>
      </c>
      <c r="AA74" s="305">
        <f t="shared" si="16"/>
        <v>0</v>
      </c>
      <c r="AB74" s="305">
        <f t="shared" si="17"/>
        <v>0</v>
      </c>
      <c r="AC74" s="305">
        <f t="shared" si="18"/>
        <v>0</v>
      </c>
      <c r="AD74" s="305">
        <f t="shared" si="19"/>
        <v>0</v>
      </c>
      <c r="AE74" s="305">
        <f t="shared" si="20"/>
        <v>0</v>
      </c>
      <c r="AF74" s="305">
        <f t="shared" si="21"/>
        <v>0</v>
      </c>
      <c r="AG74" s="305">
        <f t="shared" si="22"/>
        <v>0</v>
      </c>
      <c r="AH74" s="305">
        <f t="shared" si="23"/>
        <v>0</v>
      </c>
      <c r="AI74" s="305">
        <f t="shared" si="24"/>
        <v>0</v>
      </c>
      <c r="AJ74" s="305">
        <f t="shared" si="25"/>
        <v>0</v>
      </c>
      <c r="AK74" s="305">
        <f t="shared" si="26"/>
        <v>0</v>
      </c>
      <c r="AL74" s="305">
        <f t="shared" si="27"/>
        <v>0</v>
      </c>
      <c r="AM74" s="249"/>
    </row>
    <row r="75" spans="1:39" ht="13.5" thickBot="1">
      <c r="A75" s="251"/>
      <c r="B75" s="277"/>
      <c r="C75" s="277"/>
      <c r="D75" s="209"/>
      <c r="E75" s="209"/>
      <c r="F75" s="209"/>
      <c r="G75" s="203"/>
      <c r="H75" s="203"/>
      <c r="I75" s="224"/>
      <c r="J75" s="231">
        <v>5</v>
      </c>
      <c r="K75" s="301">
        <f t="shared" si="4"/>
        <v>0.17419354838709675</v>
      </c>
      <c r="L75" s="301">
        <f t="shared" si="5"/>
        <v>0.14032258064516129</v>
      </c>
      <c r="M75" s="301">
        <f t="shared" si="6"/>
        <v>0.15483870967741936</v>
      </c>
      <c r="N75" s="301">
        <f t="shared" si="7"/>
        <v>0.16209677419354837</v>
      </c>
      <c r="O75" s="301">
        <f t="shared" si="8"/>
        <v>0.19354838709677419</v>
      </c>
      <c r="P75" s="301">
        <f t="shared" si="9"/>
        <v>0.25887096774193552</v>
      </c>
      <c r="Q75" s="301">
        <f t="shared" si="10"/>
        <v>0.30967741935483872</v>
      </c>
      <c r="R75" s="301">
        <f t="shared" si="11"/>
        <v>0.28306451612903227</v>
      </c>
      <c r="S75" s="301">
        <f t="shared" si="12"/>
        <v>0.25403225806451613</v>
      </c>
      <c r="T75" s="301">
        <f t="shared" si="13"/>
        <v>0.15</v>
      </c>
      <c r="U75" s="301">
        <f t="shared" si="14"/>
        <v>0.16451612903225804</v>
      </c>
      <c r="V75" s="301">
        <f t="shared" si="15"/>
        <v>0.17419354838709675</v>
      </c>
      <c r="W75" s="209"/>
      <c r="X75" s="209"/>
      <c r="Y75" s="209"/>
      <c r="Z75" s="235">
        <v>5</v>
      </c>
      <c r="AA75" s="305">
        <f t="shared" si="16"/>
        <v>0</v>
      </c>
      <c r="AB75" s="305">
        <f t="shared" si="17"/>
        <v>0</v>
      </c>
      <c r="AC75" s="305">
        <f t="shared" si="18"/>
        <v>0</v>
      </c>
      <c r="AD75" s="305">
        <f t="shared" si="19"/>
        <v>1.277206215717209E-2</v>
      </c>
      <c r="AE75" s="305">
        <f t="shared" si="20"/>
        <v>0.16744324835019128</v>
      </c>
      <c r="AF75" s="305">
        <f t="shared" si="21"/>
        <v>0.23968024698532411</v>
      </c>
      <c r="AG75" s="305">
        <f t="shared" si="22"/>
        <v>0.19461223090158866</v>
      </c>
      <c r="AH75" s="305">
        <f t="shared" si="23"/>
        <v>3.2101165604871959E-2</v>
      </c>
      <c r="AI75" s="305">
        <f t="shared" si="24"/>
        <v>0</v>
      </c>
      <c r="AJ75" s="305">
        <f t="shared" si="25"/>
        <v>0</v>
      </c>
      <c r="AK75" s="305">
        <f t="shared" si="26"/>
        <v>0</v>
      </c>
      <c r="AL75" s="305">
        <f t="shared" si="27"/>
        <v>0</v>
      </c>
      <c r="AM75" s="249"/>
    </row>
    <row r="76" spans="1:39" ht="13.5" thickBot="1">
      <c r="A76" s="251"/>
      <c r="B76" s="277"/>
      <c r="C76" s="277"/>
      <c r="D76" s="209"/>
      <c r="E76" s="209"/>
      <c r="F76" s="209"/>
      <c r="G76" s="203"/>
      <c r="H76" s="203"/>
      <c r="I76" s="224"/>
      <c r="J76" s="231">
        <v>6</v>
      </c>
      <c r="K76" s="301">
        <f t="shared" si="4"/>
        <v>0.23225806451612904</v>
      </c>
      <c r="L76" s="301">
        <f t="shared" si="5"/>
        <v>0.18709677419354839</v>
      </c>
      <c r="M76" s="301">
        <f t="shared" si="6"/>
        <v>0.20645161290322581</v>
      </c>
      <c r="N76" s="301">
        <f t="shared" si="7"/>
        <v>0.21612903225806451</v>
      </c>
      <c r="O76" s="301">
        <f t="shared" si="8"/>
        <v>0.25806451612903225</v>
      </c>
      <c r="P76" s="301">
        <f t="shared" si="9"/>
        <v>0.34516129032258069</v>
      </c>
      <c r="Q76" s="301">
        <f t="shared" si="10"/>
        <v>0.41290322580645161</v>
      </c>
      <c r="R76" s="301">
        <f t="shared" si="11"/>
        <v>0.3774193548387097</v>
      </c>
      <c r="S76" s="301">
        <f t="shared" si="12"/>
        <v>0.33870967741935482</v>
      </c>
      <c r="T76" s="301">
        <f t="shared" si="13"/>
        <v>0.2</v>
      </c>
      <c r="U76" s="301">
        <f t="shared" si="14"/>
        <v>0.21935483870967742</v>
      </c>
      <c r="V76" s="301">
        <f t="shared" si="15"/>
        <v>0.23225806451612904</v>
      </c>
      <c r="W76" s="209"/>
      <c r="X76" s="209"/>
      <c r="Y76" s="209"/>
      <c r="Z76" s="235">
        <v>6</v>
      </c>
      <c r="AA76" s="305">
        <f t="shared" si="16"/>
        <v>0</v>
      </c>
      <c r="AB76" s="305">
        <f t="shared" si="17"/>
        <v>0</v>
      </c>
      <c r="AC76" s="305">
        <f t="shared" si="18"/>
        <v>4.8131903727142142E-2</v>
      </c>
      <c r="AD76" s="305">
        <f t="shared" si="19"/>
        <v>0.26708173768436627</v>
      </c>
      <c r="AE76" s="305">
        <f t="shared" si="20"/>
        <v>0.45219051028486185</v>
      </c>
      <c r="AF76" s="305">
        <f t="shared" si="21"/>
        <v>0.49783871785474487</v>
      </c>
      <c r="AG76" s="305">
        <f t="shared" si="22"/>
        <v>0.47724373445908697</v>
      </c>
      <c r="AH76" s="305">
        <f t="shared" si="23"/>
        <v>0.19837065781779564</v>
      </c>
      <c r="AI76" s="305">
        <f t="shared" si="24"/>
        <v>0.11023231986521684</v>
      </c>
      <c r="AJ76" s="305">
        <f t="shared" si="25"/>
        <v>0</v>
      </c>
      <c r="AK76" s="305">
        <f t="shared" si="26"/>
        <v>0</v>
      </c>
      <c r="AL76" s="305">
        <f t="shared" si="27"/>
        <v>0</v>
      </c>
      <c r="AM76" s="249"/>
    </row>
    <row r="77" spans="1:39" ht="13.5" thickBot="1">
      <c r="A77" s="251"/>
      <c r="B77" s="277"/>
      <c r="C77" s="277"/>
      <c r="D77" s="209"/>
      <c r="E77" s="209"/>
      <c r="F77" s="209"/>
      <c r="G77" s="203"/>
      <c r="H77" s="203"/>
      <c r="I77" s="224"/>
      <c r="J77" s="231">
        <v>7</v>
      </c>
      <c r="K77" s="301">
        <f t="shared" si="4"/>
        <v>0.29032258064516131</v>
      </c>
      <c r="L77" s="301">
        <f t="shared" si="5"/>
        <v>0.23387096774193547</v>
      </c>
      <c r="M77" s="301">
        <f t="shared" si="6"/>
        <v>0.25806451612903225</v>
      </c>
      <c r="N77" s="301">
        <f t="shared" si="7"/>
        <v>0.27016129032258063</v>
      </c>
      <c r="O77" s="301">
        <f t="shared" si="8"/>
        <v>0.32258064516129031</v>
      </c>
      <c r="P77" s="301">
        <f t="shared" si="9"/>
        <v>0.43145161290322581</v>
      </c>
      <c r="Q77" s="301">
        <f t="shared" si="10"/>
        <v>0.5161290322580645</v>
      </c>
      <c r="R77" s="301">
        <f t="shared" si="11"/>
        <v>0.47177419354838712</v>
      </c>
      <c r="S77" s="301">
        <f t="shared" si="12"/>
        <v>0.42338709677419356</v>
      </c>
      <c r="T77" s="301">
        <f t="shared" si="13"/>
        <v>0.25</v>
      </c>
      <c r="U77" s="301">
        <f t="shared" si="14"/>
        <v>0.27419354838709675</v>
      </c>
      <c r="V77" s="301">
        <f t="shared" si="15"/>
        <v>0.29032258064516131</v>
      </c>
      <c r="W77" s="209"/>
      <c r="X77" s="209"/>
      <c r="Y77" s="209"/>
      <c r="Z77" s="235">
        <v>7</v>
      </c>
      <c r="AA77" s="305">
        <f t="shared" si="16"/>
        <v>0</v>
      </c>
      <c r="AB77" s="305">
        <f t="shared" si="17"/>
        <v>0.10288519798809771</v>
      </c>
      <c r="AC77" s="305">
        <f t="shared" si="18"/>
        <v>0.34742075161400199</v>
      </c>
      <c r="AD77" s="305">
        <f t="shared" si="19"/>
        <v>0.55465955170488634</v>
      </c>
      <c r="AE77" s="305">
        <f t="shared" si="20"/>
        <v>0.73764310472294981</v>
      </c>
      <c r="AF77" s="305">
        <f t="shared" si="21"/>
        <v>0.77854819973828304</v>
      </c>
      <c r="AG77" s="305">
        <f t="shared" si="22"/>
        <v>0.80929918921294464</v>
      </c>
      <c r="AH77" s="305">
        <f t="shared" si="23"/>
        <v>0.27217663195936809</v>
      </c>
      <c r="AI77" s="305">
        <f t="shared" si="24"/>
        <v>0.4363335588256998</v>
      </c>
      <c r="AJ77" s="305">
        <f t="shared" si="25"/>
        <v>0.20620496517451001</v>
      </c>
      <c r="AK77" s="305">
        <f t="shared" si="26"/>
        <v>1.9844809555251849E-2</v>
      </c>
      <c r="AL77" s="305">
        <f t="shared" si="27"/>
        <v>0</v>
      </c>
      <c r="AM77" s="249"/>
    </row>
    <row r="78" spans="1:39" ht="13.5" thickBot="1">
      <c r="A78" s="251"/>
      <c r="B78" s="277"/>
      <c r="C78" s="277"/>
      <c r="D78" s="209"/>
      <c r="E78" s="209"/>
      <c r="F78" s="209"/>
      <c r="G78" s="203"/>
      <c r="H78" s="203"/>
      <c r="I78" s="224"/>
      <c r="J78" s="231">
        <v>8</v>
      </c>
      <c r="K78" s="301">
        <f t="shared" si="4"/>
        <v>0.34838709677419349</v>
      </c>
      <c r="L78" s="301">
        <f t="shared" si="5"/>
        <v>0.28064516129032258</v>
      </c>
      <c r="M78" s="301">
        <f t="shared" si="6"/>
        <v>0.30967741935483872</v>
      </c>
      <c r="N78" s="301">
        <f t="shared" si="7"/>
        <v>0.32419354838709674</v>
      </c>
      <c r="O78" s="301">
        <f t="shared" si="8"/>
        <v>0.38709677419354838</v>
      </c>
      <c r="P78" s="301">
        <f t="shared" si="9"/>
        <v>0.51774193548387104</v>
      </c>
      <c r="Q78" s="301">
        <f t="shared" si="10"/>
        <v>0.61935483870967745</v>
      </c>
      <c r="R78" s="301">
        <f t="shared" si="11"/>
        <v>0.56612903225806455</v>
      </c>
      <c r="S78" s="301">
        <f t="shared" si="12"/>
        <v>0.50806451612903225</v>
      </c>
      <c r="T78" s="301">
        <f t="shared" si="13"/>
        <v>0.3</v>
      </c>
      <c r="U78" s="301">
        <f t="shared" si="14"/>
        <v>0.32903225806451608</v>
      </c>
      <c r="V78" s="301">
        <f t="shared" si="15"/>
        <v>0.34838709677419349</v>
      </c>
      <c r="W78" s="209"/>
      <c r="X78" s="209"/>
      <c r="Y78" s="209"/>
      <c r="Z78" s="235">
        <v>8</v>
      </c>
      <c r="AA78" s="305">
        <f t="shared" si="16"/>
        <v>0.21471774775788813</v>
      </c>
      <c r="AB78" s="305">
        <f t="shared" si="17"/>
        <v>0.34543816007137756</v>
      </c>
      <c r="AC78" s="305">
        <f t="shared" si="18"/>
        <v>0.60820866281920727</v>
      </c>
      <c r="AD78" s="305">
        <f t="shared" si="19"/>
        <v>0.79778467233174699</v>
      </c>
      <c r="AE78" s="305">
        <f t="shared" si="20"/>
        <v>0.96513314995723776</v>
      </c>
      <c r="AF78" s="305">
        <f t="shared" si="21"/>
        <v>1.0057708663153866</v>
      </c>
      <c r="AG78" s="305">
        <f t="shared" si="22"/>
        <v>1.0852686072095052</v>
      </c>
      <c r="AH78" s="305">
        <f t="shared" si="23"/>
        <v>0.54930281337441234</v>
      </c>
      <c r="AI78" s="305">
        <f t="shared" si="24"/>
        <v>0.71780775307142153</v>
      </c>
      <c r="AJ78" s="305">
        <f t="shared" si="25"/>
        <v>0.52855889029028191</v>
      </c>
      <c r="AK78" s="305">
        <f t="shared" si="26"/>
        <v>0.2605982885813693</v>
      </c>
      <c r="AL78" s="305">
        <f t="shared" si="27"/>
        <v>0.16405421000479367</v>
      </c>
      <c r="AM78" s="249"/>
    </row>
    <row r="79" spans="1:39" ht="13.5" thickBot="1">
      <c r="A79" s="251"/>
      <c r="B79" s="277"/>
      <c r="C79" s="209"/>
      <c r="D79" s="209"/>
      <c r="E79" s="209"/>
      <c r="F79" s="209"/>
      <c r="G79" s="203"/>
      <c r="H79" s="203"/>
      <c r="I79" s="224"/>
      <c r="J79" s="231">
        <v>9</v>
      </c>
      <c r="K79" s="301">
        <f t="shared" si="4"/>
        <v>0.52258064516129032</v>
      </c>
      <c r="L79" s="301">
        <f t="shared" si="5"/>
        <v>0.42096774193548386</v>
      </c>
      <c r="M79" s="301">
        <f t="shared" si="6"/>
        <v>0.46451612903225803</v>
      </c>
      <c r="N79" s="301">
        <f t="shared" si="7"/>
        <v>0.48629032258064514</v>
      </c>
      <c r="O79" s="301">
        <f t="shared" si="8"/>
        <v>0.58064516129032262</v>
      </c>
      <c r="P79" s="301">
        <f t="shared" si="9"/>
        <v>0.77661290322580645</v>
      </c>
      <c r="Q79" s="301">
        <f t="shared" si="10"/>
        <v>0.92903225806451606</v>
      </c>
      <c r="R79" s="301">
        <f t="shared" si="11"/>
        <v>0.84919354838709671</v>
      </c>
      <c r="S79" s="301">
        <f t="shared" si="12"/>
        <v>0.76209677419354838</v>
      </c>
      <c r="T79" s="301">
        <f t="shared" si="13"/>
        <v>0.44999999999999996</v>
      </c>
      <c r="U79" s="301">
        <f t="shared" si="14"/>
        <v>0.49354838709677418</v>
      </c>
      <c r="V79" s="301">
        <f t="shared" si="15"/>
        <v>0.52258064516129032</v>
      </c>
      <c r="W79" s="209"/>
      <c r="X79" s="209"/>
      <c r="Y79" s="209"/>
      <c r="Z79" s="235">
        <v>9</v>
      </c>
      <c r="AA79" s="305">
        <f t="shared" si="16"/>
        <v>0.36886716120103824</v>
      </c>
      <c r="AB79" s="305">
        <f t="shared" si="17"/>
        <v>0.48032456197690843</v>
      </c>
      <c r="AC79" s="305">
        <f t="shared" si="18"/>
        <v>0.78860950309498445</v>
      </c>
      <c r="AD79" s="305">
        <f t="shared" si="19"/>
        <v>0.98156469852411532</v>
      </c>
      <c r="AE79" s="305">
        <f t="shared" si="20"/>
        <v>1.15207260530181</v>
      </c>
      <c r="AF79" s="305">
        <f t="shared" si="21"/>
        <v>1.1986883349466992</v>
      </c>
      <c r="AG79" s="305">
        <f t="shared" si="22"/>
        <v>1.318271699646498</v>
      </c>
      <c r="AH79" s="305">
        <f t="shared" si="23"/>
        <v>0.87262259576059309</v>
      </c>
      <c r="AI79" s="305">
        <f t="shared" si="24"/>
        <v>0.92322089994163448</v>
      </c>
      <c r="AJ79" s="305">
        <f t="shared" si="25"/>
        <v>0.73146019360837833</v>
      </c>
      <c r="AK79" s="305">
        <f t="shared" si="26"/>
        <v>0.41738728631768812</v>
      </c>
      <c r="AL79" s="305">
        <f t="shared" si="27"/>
        <v>0.35044422996685914</v>
      </c>
      <c r="AM79" s="249"/>
    </row>
    <row r="80" spans="1:39" ht="13.5" thickBot="1">
      <c r="A80" s="251"/>
      <c r="B80" s="531"/>
      <c r="C80" s="531"/>
      <c r="D80" s="209"/>
      <c r="E80" s="209"/>
      <c r="F80" s="209"/>
      <c r="G80" s="203"/>
      <c r="H80" s="203"/>
      <c r="I80" s="224"/>
      <c r="J80" s="231">
        <v>10</v>
      </c>
      <c r="K80" s="301">
        <f t="shared" si="4"/>
        <v>0.23225806451612904</v>
      </c>
      <c r="L80" s="301">
        <f t="shared" si="5"/>
        <v>0.18709677419354839</v>
      </c>
      <c r="M80" s="301">
        <f t="shared" si="6"/>
        <v>0.20645161290322581</v>
      </c>
      <c r="N80" s="301">
        <f t="shared" si="7"/>
        <v>0.21612903225806451</v>
      </c>
      <c r="O80" s="301">
        <f t="shared" si="8"/>
        <v>0.25806451612903225</v>
      </c>
      <c r="P80" s="301">
        <f t="shared" si="9"/>
        <v>0.34516129032258069</v>
      </c>
      <c r="Q80" s="301">
        <f t="shared" si="10"/>
        <v>0.41290322580645161</v>
      </c>
      <c r="R80" s="301">
        <f t="shared" si="11"/>
        <v>0.3774193548387097</v>
      </c>
      <c r="S80" s="301">
        <f t="shared" si="12"/>
        <v>0.33870967741935482</v>
      </c>
      <c r="T80" s="301">
        <f t="shared" si="13"/>
        <v>0.2</v>
      </c>
      <c r="U80" s="301">
        <f t="shared" si="14"/>
        <v>0.21935483870967742</v>
      </c>
      <c r="V80" s="301">
        <f t="shared" si="15"/>
        <v>0.23225806451612904</v>
      </c>
      <c r="W80" s="209"/>
      <c r="X80" s="209"/>
      <c r="Y80" s="209"/>
      <c r="Z80" s="235">
        <v>10</v>
      </c>
      <c r="AA80" s="305">
        <f t="shared" si="16"/>
        <v>0.446102092905799</v>
      </c>
      <c r="AB80" s="305">
        <f t="shared" si="17"/>
        <v>0.56776205015845749</v>
      </c>
      <c r="AC80" s="305">
        <f t="shared" si="18"/>
        <v>0.92600610617996093</v>
      </c>
      <c r="AD80" s="305">
        <f t="shared" si="19"/>
        <v>1.1281804382036982</v>
      </c>
      <c r="AE80" s="305">
        <f t="shared" si="20"/>
        <v>1.3012906209082453</v>
      </c>
      <c r="AF80" s="305">
        <f t="shared" si="21"/>
        <v>1.3526780948500903</v>
      </c>
      <c r="AG80" s="305">
        <f t="shared" si="22"/>
        <v>1.5042584354028705</v>
      </c>
      <c r="AH80" s="305">
        <f t="shared" si="23"/>
        <v>1.1614316430801284</v>
      </c>
      <c r="AI80" s="305">
        <f t="shared" si="24"/>
        <v>1.0841351383059274</v>
      </c>
      <c r="AJ80" s="305">
        <f t="shared" si="25"/>
        <v>0.87512880590257092</v>
      </c>
      <c r="AK80" s="305">
        <f t="shared" si="26"/>
        <v>0.50464038804175815</v>
      </c>
      <c r="AL80" s="305">
        <f t="shared" si="27"/>
        <v>0.42965681018964835</v>
      </c>
      <c r="AM80" s="249"/>
    </row>
    <row r="81" spans="1:39" ht="13.5" thickBot="1">
      <c r="A81" s="251"/>
      <c r="B81" s="277"/>
      <c r="C81" s="277"/>
      <c r="D81" s="209"/>
      <c r="E81" s="209"/>
      <c r="F81" s="209"/>
      <c r="G81" s="203"/>
      <c r="H81" s="203"/>
      <c r="I81" s="224"/>
      <c r="J81" s="231">
        <v>11</v>
      </c>
      <c r="K81" s="301">
        <f t="shared" si="4"/>
        <v>0.17419354838709675</v>
      </c>
      <c r="L81" s="301">
        <f t="shared" si="5"/>
        <v>0.14032258064516129</v>
      </c>
      <c r="M81" s="301">
        <f t="shared" si="6"/>
        <v>0.15483870967741936</v>
      </c>
      <c r="N81" s="301">
        <f t="shared" si="7"/>
        <v>0.16209677419354837</v>
      </c>
      <c r="O81" s="301">
        <f t="shared" si="8"/>
        <v>0.19354838709677419</v>
      </c>
      <c r="P81" s="301">
        <f t="shared" si="9"/>
        <v>0.25887096774193552</v>
      </c>
      <c r="Q81" s="301">
        <f t="shared" si="10"/>
        <v>0.30967741935483872</v>
      </c>
      <c r="R81" s="301">
        <f t="shared" si="11"/>
        <v>0.28306451612903227</v>
      </c>
      <c r="S81" s="301">
        <f t="shared" si="12"/>
        <v>0.25403225806451613</v>
      </c>
      <c r="T81" s="301">
        <f t="shared" si="13"/>
        <v>0.15</v>
      </c>
      <c r="U81" s="301">
        <f t="shared" si="14"/>
        <v>0.16451612903225804</v>
      </c>
      <c r="V81" s="301">
        <f t="shared" si="15"/>
        <v>0.17419354838709675</v>
      </c>
      <c r="W81" s="209"/>
      <c r="X81" s="209"/>
      <c r="Y81" s="209"/>
      <c r="Z81" s="235">
        <v>11</v>
      </c>
      <c r="AA81" s="305">
        <f t="shared" si="16"/>
        <v>0.49678714665680501</v>
      </c>
      <c r="AB81" s="305">
        <f t="shared" si="17"/>
        <v>0.62713713350019984</v>
      </c>
      <c r="AC81" s="305">
        <f t="shared" si="18"/>
        <v>1.0193063018821089</v>
      </c>
      <c r="AD81" s="305">
        <f t="shared" si="19"/>
        <v>1.2277409578816121</v>
      </c>
      <c r="AE81" s="305">
        <f t="shared" si="20"/>
        <v>1.4026182356073955</v>
      </c>
      <c r="AF81" s="305">
        <f t="shared" si="21"/>
        <v>1.4572459983682529</v>
      </c>
      <c r="AG81" s="305">
        <f t="shared" si="22"/>
        <v>1.630554125794438</v>
      </c>
      <c r="AH81" s="305">
        <f t="shared" si="23"/>
        <v>1.396048096037708</v>
      </c>
      <c r="AI81" s="305">
        <f t="shared" si="24"/>
        <v>1.1934051609524501</v>
      </c>
      <c r="AJ81" s="305">
        <f t="shared" si="25"/>
        <v>0.97268805658516577</v>
      </c>
      <c r="AK81" s="305">
        <f t="shared" si="26"/>
        <v>0.56301289590235359</v>
      </c>
      <c r="AL81" s="305">
        <f t="shared" si="27"/>
        <v>0.48009358246212119</v>
      </c>
      <c r="AM81" s="249"/>
    </row>
    <row r="82" spans="1:39" ht="13.5" thickBot="1">
      <c r="A82" s="251"/>
      <c r="B82" s="277"/>
      <c r="C82" s="277"/>
      <c r="D82" s="209"/>
      <c r="E82" s="209"/>
      <c r="F82" s="209"/>
      <c r="G82" s="203"/>
      <c r="H82" s="203"/>
      <c r="I82" s="224"/>
      <c r="J82" s="231">
        <v>12</v>
      </c>
      <c r="K82" s="301">
        <f t="shared" si="4"/>
        <v>0.17419354838709675</v>
      </c>
      <c r="L82" s="301">
        <f t="shared" si="5"/>
        <v>0.14032258064516129</v>
      </c>
      <c r="M82" s="301">
        <f t="shared" si="6"/>
        <v>0.15483870967741936</v>
      </c>
      <c r="N82" s="301">
        <f t="shared" si="7"/>
        <v>0.16209677419354837</v>
      </c>
      <c r="O82" s="301">
        <f t="shared" si="8"/>
        <v>0.19354838709677419</v>
      </c>
      <c r="P82" s="301">
        <f t="shared" si="9"/>
        <v>0.25887096774193552</v>
      </c>
      <c r="Q82" s="301">
        <f t="shared" si="10"/>
        <v>0.30967741935483872</v>
      </c>
      <c r="R82" s="301">
        <f t="shared" si="11"/>
        <v>0.28306451612903227</v>
      </c>
      <c r="S82" s="301">
        <f t="shared" si="12"/>
        <v>0.25403225806451613</v>
      </c>
      <c r="T82" s="301">
        <f t="shared" si="13"/>
        <v>0.15</v>
      </c>
      <c r="U82" s="301">
        <f t="shared" si="14"/>
        <v>0.16451612903225804</v>
      </c>
      <c r="V82" s="301">
        <f t="shared" si="15"/>
        <v>0.17419354838709675</v>
      </c>
      <c r="W82" s="209"/>
      <c r="X82" s="209"/>
      <c r="Y82" s="209"/>
      <c r="Z82" s="235">
        <v>12</v>
      </c>
      <c r="AA82" s="305">
        <f t="shared" si="16"/>
        <v>0.52006285562994026</v>
      </c>
      <c r="AB82" s="305">
        <f t="shared" si="17"/>
        <v>0.65440349819436028</v>
      </c>
      <c r="AC82" s="305">
        <f t="shared" si="18"/>
        <v>1.0621518360501907</v>
      </c>
      <c r="AD82" s="305">
        <f t="shared" si="19"/>
        <v>1.2734613726733441</v>
      </c>
      <c r="AE82" s="305">
        <f t="shared" si="20"/>
        <v>1.4491501399093145</v>
      </c>
      <c r="AF82" s="305">
        <f t="shared" si="21"/>
        <v>1.5052659156830566</v>
      </c>
      <c r="AG82" s="305">
        <f t="shared" si="22"/>
        <v>1.6885519282345112</v>
      </c>
      <c r="AH82" s="305">
        <f t="shared" si="23"/>
        <v>1.5604832310862937</v>
      </c>
      <c r="AI82" s="305">
        <f t="shared" si="24"/>
        <v>1.2435843964150917</v>
      </c>
      <c r="AJ82" s="305">
        <f t="shared" si="25"/>
        <v>1.0174894439464288</v>
      </c>
      <c r="AK82" s="305">
        <f t="shared" si="26"/>
        <v>0.58981885553830093</v>
      </c>
      <c r="AL82" s="305">
        <f t="shared" si="27"/>
        <v>0.50325527503377199</v>
      </c>
      <c r="AM82" s="249"/>
    </row>
    <row r="83" spans="1:39" ht="13.5" thickBot="1">
      <c r="A83" s="251"/>
      <c r="B83" s="277"/>
      <c r="C83" s="277"/>
      <c r="D83" s="209"/>
      <c r="E83" s="209"/>
      <c r="F83" s="209"/>
      <c r="G83" s="203"/>
      <c r="H83" s="203"/>
      <c r="I83" s="224"/>
      <c r="J83" s="231">
        <v>13</v>
      </c>
      <c r="K83" s="301">
        <f t="shared" si="4"/>
        <v>0.17419354838709675</v>
      </c>
      <c r="L83" s="301">
        <f t="shared" si="5"/>
        <v>0.14032258064516129</v>
      </c>
      <c r="M83" s="301">
        <f t="shared" si="6"/>
        <v>0.15483870967741936</v>
      </c>
      <c r="N83" s="301">
        <f t="shared" si="7"/>
        <v>0.16209677419354837</v>
      </c>
      <c r="O83" s="301">
        <f t="shared" si="8"/>
        <v>0.19354838709677419</v>
      </c>
      <c r="P83" s="301">
        <f t="shared" si="9"/>
        <v>0.25887096774193552</v>
      </c>
      <c r="Q83" s="301">
        <f t="shared" si="10"/>
        <v>0.30967741935483872</v>
      </c>
      <c r="R83" s="301">
        <f t="shared" si="11"/>
        <v>0.28306451612903227</v>
      </c>
      <c r="S83" s="301">
        <f t="shared" si="12"/>
        <v>0.25403225806451613</v>
      </c>
      <c r="T83" s="301">
        <f t="shared" si="13"/>
        <v>0.15</v>
      </c>
      <c r="U83" s="301">
        <f t="shared" si="14"/>
        <v>0.16451612903225804</v>
      </c>
      <c r="V83" s="301">
        <f t="shared" si="15"/>
        <v>0.17419354838709675</v>
      </c>
      <c r="W83" s="209"/>
      <c r="X83" s="209"/>
      <c r="Y83" s="209"/>
      <c r="Z83" s="235">
        <v>13</v>
      </c>
      <c r="AA83" s="305">
        <f t="shared" si="16"/>
        <v>0.51434301872361399</v>
      </c>
      <c r="AB83" s="305">
        <f t="shared" si="17"/>
        <v>0.64770298654683023</v>
      </c>
      <c r="AC83" s="305">
        <f t="shared" si="18"/>
        <v>1.0516228563362444</v>
      </c>
      <c r="AD83" s="305">
        <f t="shared" si="19"/>
        <v>1.2622259118673966</v>
      </c>
      <c r="AE83" s="305">
        <f t="shared" si="20"/>
        <v>1.4377152614334339</v>
      </c>
      <c r="AF83" s="305">
        <f t="shared" si="21"/>
        <v>1.4934653687861619</v>
      </c>
      <c r="AG83" s="305">
        <f t="shared" si="22"/>
        <v>1.6742993883326998</v>
      </c>
      <c r="AH83" s="305">
        <f t="shared" si="23"/>
        <v>1.6435310655142337</v>
      </c>
      <c r="AI83" s="305">
        <f t="shared" si="24"/>
        <v>1.2312532127221811</v>
      </c>
      <c r="AJ83" s="305">
        <f t="shared" si="25"/>
        <v>1.0064798274754827</v>
      </c>
      <c r="AK83" s="305">
        <f t="shared" si="26"/>
        <v>0.58323148509935308</v>
      </c>
      <c r="AL83" s="305">
        <f t="shared" si="27"/>
        <v>0.49756345683234904</v>
      </c>
      <c r="AM83" s="249"/>
    </row>
    <row r="84" spans="1:39" ht="13.5" thickBot="1">
      <c r="A84" s="251"/>
      <c r="B84" s="277"/>
      <c r="C84" s="277"/>
      <c r="D84" s="209"/>
      <c r="E84" s="209"/>
      <c r="F84" s="209"/>
      <c r="G84" s="203"/>
      <c r="H84" s="203"/>
      <c r="I84" s="224"/>
      <c r="J84" s="231">
        <v>14</v>
      </c>
      <c r="K84" s="301">
        <f t="shared" si="4"/>
        <v>0.17419354838709675</v>
      </c>
      <c r="L84" s="301">
        <f t="shared" si="5"/>
        <v>0.14032258064516129</v>
      </c>
      <c r="M84" s="301">
        <f t="shared" si="6"/>
        <v>0.15483870967741936</v>
      </c>
      <c r="N84" s="301">
        <f t="shared" si="7"/>
        <v>0.16209677419354837</v>
      </c>
      <c r="O84" s="301">
        <f t="shared" si="8"/>
        <v>0.19354838709677419</v>
      </c>
      <c r="P84" s="301">
        <f t="shared" si="9"/>
        <v>0.25887096774193552</v>
      </c>
      <c r="Q84" s="301">
        <f t="shared" si="10"/>
        <v>0.30967741935483872</v>
      </c>
      <c r="R84" s="301">
        <f t="shared" si="11"/>
        <v>0.28306451612903227</v>
      </c>
      <c r="S84" s="301">
        <f t="shared" si="12"/>
        <v>0.25403225806451613</v>
      </c>
      <c r="T84" s="301">
        <f t="shared" si="13"/>
        <v>0.15</v>
      </c>
      <c r="U84" s="301">
        <f t="shared" si="14"/>
        <v>0.16451612903225804</v>
      </c>
      <c r="V84" s="301">
        <f t="shared" si="15"/>
        <v>0.17419354838709675</v>
      </c>
      <c r="W84" s="209"/>
      <c r="X84" s="209"/>
      <c r="Y84" s="209"/>
      <c r="Z84" s="235">
        <v>14</v>
      </c>
      <c r="AA84" s="305">
        <f t="shared" si="16"/>
        <v>0.48001743337051439</v>
      </c>
      <c r="AB84" s="305">
        <f t="shared" si="17"/>
        <v>0.60749222735326969</v>
      </c>
      <c r="AC84" s="305">
        <f t="shared" si="18"/>
        <v>0.98843689530781376</v>
      </c>
      <c r="AD84" s="305">
        <f t="shared" si="19"/>
        <v>1.1948002535502178</v>
      </c>
      <c r="AE84" s="305">
        <f t="shared" si="20"/>
        <v>1.369092868250855</v>
      </c>
      <c r="AF84" s="305">
        <f t="shared" si="21"/>
        <v>1.4226485454472666</v>
      </c>
      <c r="AG84" s="305">
        <f t="shared" si="22"/>
        <v>1.5887677931298767</v>
      </c>
      <c r="AH84" s="305">
        <f t="shared" si="23"/>
        <v>1.6395320266483002</v>
      </c>
      <c r="AI84" s="305">
        <f t="shared" si="24"/>
        <v>1.1572519596641455</v>
      </c>
      <c r="AJ84" s="305">
        <f t="shared" si="25"/>
        <v>0.94040949434057142</v>
      </c>
      <c r="AK84" s="305">
        <f t="shared" si="26"/>
        <v>0.54369970299477965</v>
      </c>
      <c r="AL84" s="305">
        <f t="shared" si="27"/>
        <v>0.46340601586210539</v>
      </c>
      <c r="AM84" s="249"/>
    </row>
    <row r="85" spans="1:39" ht="13.5" thickBot="1">
      <c r="A85" s="251"/>
      <c r="B85" s="277"/>
      <c r="C85" s="277"/>
      <c r="D85" s="209"/>
      <c r="E85" s="209"/>
      <c r="F85" s="209"/>
      <c r="G85" s="203"/>
      <c r="H85" s="203"/>
      <c r="I85" s="224"/>
      <c r="J85" s="231">
        <v>15</v>
      </c>
      <c r="K85" s="301">
        <f t="shared" si="4"/>
        <v>0.17419354838709675</v>
      </c>
      <c r="L85" s="301">
        <f t="shared" si="5"/>
        <v>0.14032258064516129</v>
      </c>
      <c r="M85" s="301">
        <f t="shared" si="6"/>
        <v>0.15483870967741936</v>
      </c>
      <c r="N85" s="301">
        <f t="shared" si="7"/>
        <v>0.16209677419354837</v>
      </c>
      <c r="O85" s="301">
        <f t="shared" si="8"/>
        <v>0.19354838709677419</v>
      </c>
      <c r="P85" s="301">
        <f t="shared" si="9"/>
        <v>0.25887096774193552</v>
      </c>
      <c r="Q85" s="301">
        <f t="shared" si="10"/>
        <v>0.30967741935483872</v>
      </c>
      <c r="R85" s="301">
        <f t="shared" si="11"/>
        <v>0.28306451612903227</v>
      </c>
      <c r="S85" s="301">
        <f t="shared" si="12"/>
        <v>0.25403225806451613</v>
      </c>
      <c r="T85" s="301">
        <f t="shared" si="13"/>
        <v>0.15</v>
      </c>
      <c r="U85" s="301">
        <f t="shared" si="14"/>
        <v>0.16451612903225804</v>
      </c>
      <c r="V85" s="301">
        <f t="shared" si="15"/>
        <v>0.17419354838709675</v>
      </c>
      <c r="W85" s="209"/>
      <c r="X85" s="209"/>
      <c r="Y85" s="209"/>
      <c r="Z85" s="235">
        <v>15</v>
      </c>
      <c r="AA85" s="305">
        <f t="shared" si="16"/>
        <v>0.4164293988292706</v>
      </c>
      <c r="AB85" s="305">
        <f t="shared" si="17"/>
        <v>0.5365115174012981</v>
      </c>
      <c r="AC85" s="305">
        <f t="shared" si="18"/>
        <v>0.87689997178924839</v>
      </c>
      <c r="AD85" s="305">
        <f t="shared" si="19"/>
        <v>1.0757793449099544</v>
      </c>
      <c r="AE85" s="305">
        <f t="shared" si="20"/>
        <v>1.2479594630531039</v>
      </c>
      <c r="AF85" s="305">
        <f t="shared" si="21"/>
        <v>1.2976414951465833</v>
      </c>
      <c r="AG85" s="305">
        <f t="shared" si="22"/>
        <v>1.4377859794914698</v>
      </c>
      <c r="AH85" s="305">
        <f t="shared" si="23"/>
        <v>1.5487586423784805</v>
      </c>
      <c r="AI85" s="305">
        <f t="shared" si="24"/>
        <v>1.026623700344037</v>
      </c>
      <c r="AJ85" s="305">
        <f t="shared" si="25"/>
        <v>0.82378102855845092</v>
      </c>
      <c r="AK85" s="305">
        <f t="shared" si="26"/>
        <v>0.47241774380876156</v>
      </c>
      <c r="AL85" s="305">
        <f t="shared" si="27"/>
        <v>0.39738478127317794</v>
      </c>
      <c r="AM85" s="249"/>
    </row>
    <row r="86" spans="1:39" ht="13.5" thickBot="1">
      <c r="A86" s="251"/>
      <c r="B86" s="277"/>
      <c r="C86" s="277"/>
      <c r="D86" s="209"/>
      <c r="E86" s="209"/>
      <c r="F86" s="209"/>
      <c r="G86" s="203"/>
      <c r="H86" s="203"/>
      <c r="I86" s="224"/>
      <c r="J86" s="231">
        <v>16</v>
      </c>
      <c r="K86" s="301">
        <f t="shared" si="4"/>
        <v>0.17419354838709675</v>
      </c>
      <c r="L86" s="301">
        <f t="shared" si="5"/>
        <v>0.14032258064516129</v>
      </c>
      <c r="M86" s="301">
        <f t="shared" si="6"/>
        <v>0.15483870967741936</v>
      </c>
      <c r="N86" s="301">
        <f t="shared" si="7"/>
        <v>0.16209677419354837</v>
      </c>
      <c r="O86" s="301">
        <f t="shared" si="8"/>
        <v>0.19354838709677419</v>
      </c>
      <c r="P86" s="301">
        <f t="shared" si="9"/>
        <v>0.25887096774193552</v>
      </c>
      <c r="Q86" s="301">
        <f t="shared" si="10"/>
        <v>0.30967741935483872</v>
      </c>
      <c r="R86" s="301">
        <f t="shared" si="11"/>
        <v>0.28306451612903227</v>
      </c>
      <c r="S86" s="301">
        <f t="shared" si="12"/>
        <v>0.25403225806451613</v>
      </c>
      <c r="T86" s="301">
        <f t="shared" si="13"/>
        <v>0.15</v>
      </c>
      <c r="U86" s="301">
        <f t="shared" si="14"/>
        <v>0.16451612903225804</v>
      </c>
      <c r="V86" s="301">
        <f t="shared" si="15"/>
        <v>0.17419354838709675</v>
      </c>
      <c r="W86" s="209"/>
      <c r="X86" s="209"/>
      <c r="Y86" s="209"/>
      <c r="Z86" s="235">
        <v>16</v>
      </c>
      <c r="AA86" s="305">
        <f t="shared" si="16"/>
        <v>0.25880217718319509</v>
      </c>
      <c r="AB86" s="305">
        <f t="shared" si="17"/>
        <v>0.40905507988072382</v>
      </c>
      <c r="AC86" s="305">
        <f t="shared" si="18"/>
        <v>0.71466231386711188</v>
      </c>
      <c r="AD86" s="305">
        <f t="shared" si="19"/>
        <v>0.91315645029022441</v>
      </c>
      <c r="AE86" s="305">
        <f t="shared" si="20"/>
        <v>1.0825700872219903</v>
      </c>
      <c r="AF86" s="305">
        <f t="shared" si="21"/>
        <v>1.1269632417781841</v>
      </c>
      <c r="AG86" s="305">
        <f t="shared" si="22"/>
        <v>1.2316431085076922</v>
      </c>
      <c r="AH86" s="305">
        <f t="shared" si="23"/>
        <v>1.3773969688326544</v>
      </c>
      <c r="AI86" s="305">
        <f t="shared" si="24"/>
        <v>0.84365684113899719</v>
      </c>
      <c r="AJ86" s="305">
        <f t="shared" si="25"/>
        <v>0.63630380354282534</v>
      </c>
      <c r="AK86" s="305">
        <f t="shared" si="26"/>
        <v>0.31621409955742696</v>
      </c>
      <c r="AL86" s="305">
        <f t="shared" si="27"/>
        <v>0.19801260611710891</v>
      </c>
      <c r="AM86" s="249"/>
    </row>
    <row r="87" spans="1:39" ht="13.5" thickBot="1">
      <c r="A87" s="251"/>
      <c r="B87" s="277"/>
      <c r="C87" s="209"/>
      <c r="D87" s="209"/>
      <c r="E87" s="209"/>
      <c r="F87" s="209"/>
      <c r="G87" s="203"/>
      <c r="H87" s="203"/>
      <c r="I87" s="224"/>
      <c r="J87" s="231">
        <v>17</v>
      </c>
      <c r="K87" s="301">
        <f t="shared" si="4"/>
        <v>0.23225806451612904</v>
      </c>
      <c r="L87" s="301">
        <f t="shared" si="5"/>
        <v>0.18709677419354839</v>
      </c>
      <c r="M87" s="301">
        <f t="shared" si="6"/>
        <v>0.20645161290322581</v>
      </c>
      <c r="N87" s="301">
        <f t="shared" si="7"/>
        <v>0.21612903225806451</v>
      </c>
      <c r="O87" s="301">
        <f t="shared" si="8"/>
        <v>0.25806451612903225</v>
      </c>
      <c r="P87" s="301">
        <f t="shared" si="9"/>
        <v>0.34516129032258069</v>
      </c>
      <c r="Q87" s="301">
        <f t="shared" si="10"/>
        <v>0.41290322580645161</v>
      </c>
      <c r="R87" s="301">
        <f t="shared" si="11"/>
        <v>0.3774193548387097</v>
      </c>
      <c r="S87" s="301">
        <f t="shared" si="12"/>
        <v>0.33870967741935482</v>
      </c>
      <c r="T87" s="301">
        <f t="shared" si="13"/>
        <v>0.2</v>
      </c>
      <c r="U87" s="301">
        <f t="shared" si="14"/>
        <v>0.21935483870967742</v>
      </c>
      <c r="V87" s="301">
        <f t="shared" si="15"/>
        <v>0.23225806451612904</v>
      </c>
      <c r="W87" s="209"/>
      <c r="X87" s="209"/>
      <c r="Y87" s="209"/>
      <c r="Z87" s="235">
        <v>17</v>
      </c>
      <c r="AA87" s="305">
        <f t="shared" si="16"/>
        <v>0</v>
      </c>
      <c r="AB87" s="305">
        <f t="shared" si="17"/>
        <v>0.13096500628331464</v>
      </c>
      <c r="AC87" s="305">
        <f t="shared" si="18"/>
        <v>0.44521202947944466</v>
      </c>
      <c r="AD87" s="305">
        <f t="shared" si="19"/>
        <v>0.67500247766523769</v>
      </c>
      <c r="AE87" s="305">
        <f t="shared" si="20"/>
        <v>0.8656490228250765</v>
      </c>
      <c r="AF87" s="305">
        <f t="shared" si="21"/>
        <v>0.91208402250667897</v>
      </c>
      <c r="AG87" s="305">
        <f t="shared" si="22"/>
        <v>0.96990947214792012</v>
      </c>
      <c r="AH87" s="305">
        <f t="shared" si="23"/>
        <v>1.0856066715587176</v>
      </c>
      <c r="AI87" s="305">
        <f t="shared" si="24"/>
        <v>0.55998788824650647</v>
      </c>
      <c r="AJ87" s="305">
        <f t="shared" si="25"/>
        <v>0.27439871638178415</v>
      </c>
      <c r="AK87" s="305">
        <f t="shared" si="26"/>
        <v>2.5908638151344563E-2</v>
      </c>
      <c r="AL87" s="305">
        <f t="shared" si="27"/>
        <v>0</v>
      </c>
      <c r="AM87" s="249"/>
    </row>
    <row r="88" spans="1:39" ht="13.5" thickBot="1">
      <c r="A88" s="251"/>
      <c r="B88" s="531"/>
      <c r="C88" s="531"/>
      <c r="D88" s="209"/>
      <c r="E88" s="209"/>
      <c r="F88" s="209"/>
      <c r="G88" s="203"/>
      <c r="H88" s="203"/>
      <c r="I88" s="224"/>
      <c r="J88" s="231">
        <v>18</v>
      </c>
      <c r="K88" s="301">
        <f t="shared" si="4"/>
        <v>0.34838709677419349</v>
      </c>
      <c r="L88" s="301">
        <f t="shared" si="5"/>
        <v>0.28064516129032258</v>
      </c>
      <c r="M88" s="301">
        <f t="shared" si="6"/>
        <v>0.30967741935483872</v>
      </c>
      <c r="N88" s="301">
        <f t="shared" si="7"/>
        <v>0.32419354838709674</v>
      </c>
      <c r="O88" s="301">
        <f t="shared" si="8"/>
        <v>0.38709677419354838</v>
      </c>
      <c r="P88" s="301">
        <f t="shared" si="9"/>
        <v>0.51774193548387104</v>
      </c>
      <c r="Q88" s="301">
        <f t="shared" si="10"/>
        <v>0.61935483870967745</v>
      </c>
      <c r="R88" s="301">
        <f t="shared" si="11"/>
        <v>0.56612903225806455</v>
      </c>
      <c r="S88" s="301">
        <f t="shared" si="12"/>
        <v>0.50806451612903225</v>
      </c>
      <c r="T88" s="301">
        <f t="shared" si="13"/>
        <v>0.3</v>
      </c>
      <c r="U88" s="301">
        <f t="shared" si="14"/>
        <v>0.32903225806451608</v>
      </c>
      <c r="V88" s="301">
        <f t="shared" si="15"/>
        <v>0.34838709677419349</v>
      </c>
      <c r="W88" s="209"/>
      <c r="X88" s="209"/>
      <c r="Y88" s="209"/>
      <c r="Z88" s="235">
        <v>18</v>
      </c>
      <c r="AA88" s="305">
        <f t="shared" si="16"/>
        <v>0</v>
      </c>
      <c r="AB88" s="305">
        <f t="shared" si="17"/>
        <v>0</v>
      </c>
      <c r="AC88" s="305">
        <f t="shared" si="18"/>
        <v>6.5266351723508656E-2</v>
      </c>
      <c r="AD88" s="305">
        <f t="shared" si="19"/>
        <v>0.35082263899229355</v>
      </c>
      <c r="AE88" s="305">
        <f t="shared" si="20"/>
        <v>0.56680482291979628</v>
      </c>
      <c r="AF88" s="305">
        <f t="shared" si="21"/>
        <v>0.62209325323947695</v>
      </c>
      <c r="AG88" s="305">
        <f t="shared" si="22"/>
        <v>0.6243672262041009</v>
      </c>
      <c r="AH88" s="305">
        <f t="shared" si="23"/>
        <v>0.63749549733832278</v>
      </c>
      <c r="AI88" s="305">
        <f t="shared" si="24"/>
        <v>0.15637813824862687</v>
      </c>
      <c r="AJ88" s="305">
        <f t="shared" si="25"/>
        <v>0</v>
      </c>
      <c r="AK88" s="305">
        <f t="shared" si="26"/>
        <v>0</v>
      </c>
      <c r="AL88" s="305">
        <f t="shared" si="27"/>
        <v>0</v>
      </c>
      <c r="AM88" s="249"/>
    </row>
    <row r="89" spans="1:39" ht="13.5" thickBot="1">
      <c r="A89" s="251"/>
      <c r="B89" s="277"/>
      <c r="C89" s="209"/>
      <c r="D89" s="209"/>
      <c r="E89" s="209"/>
      <c r="F89" s="209"/>
      <c r="G89" s="203"/>
      <c r="H89" s="203"/>
      <c r="I89" s="224"/>
      <c r="J89" s="231">
        <v>19</v>
      </c>
      <c r="K89" s="301">
        <f t="shared" si="4"/>
        <v>0.52258064516129032</v>
      </c>
      <c r="L89" s="301">
        <f t="shared" si="5"/>
        <v>0.42096774193548386</v>
      </c>
      <c r="M89" s="301">
        <f t="shared" si="6"/>
        <v>0.46451612903225803</v>
      </c>
      <c r="N89" s="301">
        <f t="shared" si="7"/>
        <v>0.48629032258064514</v>
      </c>
      <c r="O89" s="301">
        <f t="shared" si="8"/>
        <v>0.58064516129032262</v>
      </c>
      <c r="P89" s="301">
        <f t="shared" si="9"/>
        <v>0.77661290322580645</v>
      </c>
      <c r="Q89" s="301">
        <f t="shared" si="10"/>
        <v>0.92903225806451606</v>
      </c>
      <c r="R89" s="301">
        <f t="shared" si="11"/>
        <v>0.84919354838709671</v>
      </c>
      <c r="S89" s="301">
        <f t="shared" si="12"/>
        <v>0.76209677419354838</v>
      </c>
      <c r="T89" s="301">
        <f t="shared" si="13"/>
        <v>0.44999999999999996</v>
      </c>
      <c r="U89" s="301">
        <f t="shared" si="14"/>
        <v>0.49354838709677418</v>
      </c>
      <c r="V89" s="301">
        <f t="shared" si="15"/>
        <v>0.52258064516129032</v>
      </c>
      <c r="W89" s="209"/>
      <c r="X89" s="209"/>
      <c r="Y89" s="209"/>
      <c r="Z89" s="235">
        <v>19</v>
      </c>
      <c r="AA89" s="305">
        <f t="shared" si="16"/>
        <v>0</v>
      </c>
      <c r="AB89" s="305">
        <f t="shared" si="17"/>
        <v>0</v>
      </c>
      <c r="AC89" s="305">
        <f t="shared" si="18"/>
        <v>0</v>
      </c>
      <c r="AD89" s="305">
        <f t="shared" si="19"/>
        <v>1.399968962824776E-2</v>
      </c>
      <c r="AE89" s="305">
        <f t="shared" si="20"/>
        <v>0.2026668592537384</v>
      </c>
      <c r="AF89" s="305">
        <f t="shared" si="21"/>
        <v>0.30229092416026287</v>
      </c>
      <c r="AG89" s="305">
        <f t="shared" si="22"/>
        <v>0.25548966196995898</v>
      </c>
      <c r="AH89" s="305">
        <f t="shared" si="23"/>
        <v>7.6755196233925668E-2</v>
      </c>
      <c r="AI89" s="305">
        <f t="shared" si="24"/>
        <v>0</v>
      </c>
      <c r="AJ89" s="305">
        <f t="shared" si="25"/>
        <v>0</v>
      </c>
      <c r="AK89" s="305">
        <f t="shared" si="26"/>
        <v>0</v>
      </c>
      <c r="AL89" s="305">
        <f t="shared" si="27"/>
        <v>0</v>
      </c>
      <c r="AM89" s="249"/>
    </row>
    <row r="90" spans="1:39" ht="13.5" thickBot="1">
      <c r="A90" s="251"/>
      <c r="B90" s="209"/>
      <c r="C90" s="209"/>
      <c r="D90" s="209"/>
      <c r="E90" s="209"/>
      <c r="F90" s="209"/>
      <c r="G90" s="203"/>
      <c r="H90" s="203"/>
      <c r="I90" s="224"/>
      <c r="J90" s="231">
        <v>20</v>
      </c>
      <c r="K90" s="301">
        <f t="shared" si="4"/>
        <v>0.52258064516129032</v>
      </c>
      <c r="L90" s="301">
        <f t="shared" si="5"/>
        <v>0.42096774193548386</v>
      </c>
      <c r="M90" s="301">
        <f t="shared" si="6"/>
        <v>0.46451612903225803</v>
      </c>
      <c r="N90" s="301">
        <f t="shared" si="7"/>
        <v>0.48629032258064514</v>
      </c>
      <c r="O90" s="301">
        <f t="shared" si="8"/>
        <v>0.58064516129032262</v>
      </c>
      <c r="P90" s="301">
        <f t="shared" si="9"/>
        <v>0.77661290322580645</v>
      </c>
      <c r="Q90" s="301">
        <f t="shared" si="10"/>
        <v>0.92903225806451606</v>
      </c>
      <c r="R90" s="301">
        <f t="shared" si="11"/>
        <v>0.84919354838709671</v>
      </c>
      <c r="S90" s="301">
        <f t="shared" si="12"/>
        <v>0.76209677419354838</v>
      </c>
      <c r="T90" s="301">
        <f t="shared" si="13"/>
        <v>0.44999999999999996</v>
      </c>
      <c r="U90" s="301">
        <f t="shared" si="14"/>
        <v>0.49354838709677418</v>
      </c>
      <c r="V90" s="301">
        <f t="shared" si="15"/>
        <v>0.52258064516129032</v>
      </c>
      <c r="W90" s="209"/>
      <c r="X90" s="209"/>
      <c r="Y90" s="209"/>
      <c r="Z90" s="235">
        <v>20</v>
      </c>
      <c r="AA90" s="305">
        <f t="shared" si="16"/>
        <v>0</v>
      </c>
      <c r="AB90" s="305">
        <f t="shared" si="17"/>
        <v>0</v>
      </c>
      <c r="AC90" s="305">
        <f t="shared" si="18"/>
        <v>0</v>
      </c>
      <c r="AD90" s="305">
        <f t="shared" si="19"/>
        <v>0</v>
      </c>
      <c r="AE90" s="305">
        <f t="shared" si="20"/>
        <v>0</v>
      </c>
      <c r="AF90" s="305">
        <f t="shared" si="21"/>
        <v>0</v>
      </c>
      <c r="AG90" s="305">
        <f t="shared" si="22"/>
        <v>0</v>
      </c>
      <c r="AH90" s="305">
        <f t="shared" si="23"/>
        <v>0</v>
      </c>
      <c r="AI90" s="305">
        <f t="shared" si="24"/>
        <v>0</v>
      </c>
      <c r="AJ90" s="305">
        <f t="shared" si="25"/>
        <v>0</v>
      </c>
      <c r="AK90" s="305">
        <f t="shared" si="26"/>
        <v>0</v>
      </c>
      <c r="AL90" s="305">
        <f t="shared" si="27"/>
        <v>0</v>
      </c>
      <c r="AM90" s="249"/>
    </row>
    <row r="91" spans="1:39" ht="13.5" thickBot="1">
      <c r="A91" s="251"/>
      <c r="B91" s="209"/>
      <c r="C91" s="209"/>
      <c r="D91" s="209"/>
      <c r="E91" s="209"/>
      <c r="F91" s="209"/>
      <c r="G91" s="203"/>
      <c r="H91" s="203"/>
      <c r="I91" s="224"/>
      <c r="J91" s="231">
        <v>21</v>
      </c>
      <c r="K91" s="301">
        <f t="shared" si="4"/>
        <v>0.29032258064516131</v>
      </c>
      <c r="L91" s="301">
        <f t="shared" si="5"/>
        <v>0.23387096774193547</v>
      </c>
      <c r="M91" s="301">
        <f t="shared" si="6"/>
        <v>0.25806451612903225</v>
      </c>
      <c r="N91" s="301">
        <f t="shared" si="7"/>
        <v>0.27016129032258063</v>
      </c>
      <c r="O91" s="301">
        <f t="shared" si="8"/>
        <v>0.32258064516129031</v>
      </c>
      <c r="P91" s="301">
        <f t="shared" si="9"/>
        <v>0.43145161290322581</v>
      </c>
      <c r="Q91" s="301">
        <f t="shared" si="10"/>
        <v>0.5161290322580645</v>
      </c>
      <c r="R91" s="301">
        <f t="shared" si="11"/>
        <v>0.47177419354838712</v>
      </c>
      <c r="S91" s="301">
        <f t="shared" si="12"/>
        <v>0.42338709677419356</v>
      </c>
      <c r="T91" s="301">
        <f t="shared" si="13"/>
        <v>0.25</v>
      </c>
      <c r="U91" s="301">
        <f t="shared" si="14"/>
        <v>0.27419354838709675</v>
      </c>
      <c r="V91" s="301">
        <f t="shared" si="15"/>
        <v>0.29032258064516131</v>
      </c>
      <c r="W91" s="209"/>
      <c r="X91" s="209"/>
      <c r="Y91" s="209"/>
      <c r="Z91" s="235">
        <v>21</v>
      </c>
      <c r="AA91" s="305">
        <f t="shared" si="16"/>
        <v>0</v>
      </c>
      <c r="AB91" s="305">
        <f t="shared" si="17"/>
        <v>0</v>
      </c>
      <c r="AC91" s="305">
        <f t="shared" si="18"/>
        <v>0</v>
      </c>
      <c r="AD91" s="305">
        <f t="shared" si="19"/>
        <v>0</v>
      </c>
      <c r="AE91" s="305">
        <f t="shared" si="20"/>
        <v>0</v>
      </c>
      <c r="AF91" s="305">
        <f t="shared" si="21"/>
        <v>0</v>
      </c>
      <c r="AG91" s="305">
        <f t="shared" si="22"/>
        <v>0</v>
      </c>
      <c r="AH91" s="305">
        <f t="shared" si="23"/>
        <v>0</v>
      </c>
      <c r="AI91" s="305">
        <f t="shared" si="24"/>
        <v>0</v>
      </c>
      <c r="AJ91" s="305">
        <f t="shared" si="25"/>
        <v>0</v>
      </c>
      <c r="AK91" s="305">
        <f t="shared" si="26"/>
        <v>0</v>
      </c>
      <c r="AL91" s="305">
        <f t="shared" si="27"/>
        <v>0</v>
      </c>
      <c r="AM91" s="249"/>
    </row>
    <row r="92" spans="1:39" ht="13.5" thickBot="1">
      <c r="A92" s="209"/>
      <c r="B92" s="209"/>
      <c r="C92" s="209"/>
      <c r="D92" s="209"/>
      <c r="E92" s="209"/>
      <c r="F92" s="209"/>
      <c r="G92" s="203"/>
      <c r="H92" s="203"/>
      <c r="I92" s="224"/>
      <c r="J92" s="231">
        <v>22</v>
      </c>
      <c r="K92" s="301">
        <f t="shared" si="4"/>
        <v>0.23225806451612904</v>
      </c>
      <c r="L92" s="301">
        <f t="shared" si="5"/>
        <v>0.18709677419354839</v>
      </c>
      <c r="M92" s="301">
        <f t="shared" si="6"/>
        <v>0.20645161290322581</v>
      </c>
      <c r="N92" s="301">
        <f t="shared" si="7"/>
        <v>0.21612903225806451</v>
      </c>
      <c r="O92" s="301">
        <f t="shared" si="8"/>
        <v>0.25806451612903225</v>
      </c>
      <c r="P92" s="301">
        <f t="shared" si="9"/>
        <v>0.34516129032258069</v>
      </c>
      <c r="Q92" s="301">
        <f t="shared" si="10"/>
        <v>0.41290322580645161</v>
      </c>
      <c r="R92" s="301">
        <f t="shared" si="11"/>
        <v>0.3774193548387097</v>
      </c>
      <c r="S92" s="301">
        <f t="shared" si="12"/>
        <v>0.33870967741935482</v>
      </c>
      <c r="T92" s="301">
        <f t="shared" si="13"/>
        <v>0.2</v>
      </c>
      <c r="U92" s="301">
        <f t="shared" si="14"/>
        <v>0.21935483870967742</v>
      </c>
      <c r="V92" s="301">
        <f t="shared" si="15"/>
        <v>0.23225806451612904</v>
      </c>
      <c r="W92" s="209"/>
      <c r="X92" s="209"/>
      <c r="Y92" s="209"/>
      <c r="Z92" s="235">
        <v>22</v>
      </c>
      <c r="AA92" s="305">
        <f t="shared" si="16"/>
        <v>0</v>
      </c>
      <c r="AB92" s="305">
        <f t="shared" si="17"/>
        <v>0</v>
      </c>
      <c r="AC92" s="305">
        <f t="shared" si="18"/>
        <v>0</v>
      </c>
      <c r="AD92" s="305">
        <f t="shared" si="19"/>
        <v>0</v>
      </c>
      <c r="AE92" s="305">
        <f t="shared" si="20"/>
        <v>0</v>
      </c>
      <c r="AF92" s="305">
        <f t="shared" si="21"/>
        <v>0</v>
      </c>
      <c r="AG92" s="305">
        <f t="shared" si="22"/>
        <v>0</v>
      </c>
      <c r="AH92" s="305">
        <f t="shared" si="23"/>
        <v>0</v>
      </c>
      <c r="AI92" s="305">
        <f t="shared" si="24"/>
        <v>0</v>
      </c>
      <c r="AJ92" s="305">
        <f t="shared" si="25"/>
        <v>0</v>
      </c>
      <c r="AK92" s="305">
        <f t="shared" si="26"/>
        <v>0</v>
      </c>
      <c r="AL92" s="305">
        <f t="shared" si="27"/>
        <v>0</v>
      </c>
      <c r="AM92" s="249"/>
    </row>
    <row r="93" spans="1:39">
      <c r="A93" s="209"/>
      <c r="B93" s="209"/>
      <c r="C93" s="209"/>
      <c r="D93" s="209"/>
      <c r="E93" s="209"/>
      <c r="F93" s="209"/>
      <c r="G93" s="203"/>
      <c r="H93" s="203"/>
      <c r="I93" s="224"/>
      <c r="J93" s="240">
        <v>23</v>
      </c>
      <c r="K93" s="301">
        <f t="shared" si="4"/>
        <v>0.17419354838709675</v>
      </c>
      <c r="L93" s="301">
        <f t="shared" si="5"/>
        <v>0.14032258064516129</v>
      </c>
      <c r="M93" s="301">
        <f t="shared" si="6"/>
        <v>0.15483870967741936</v>
      </c>
      <c r="N93" s="301">
        <f t="shared" si="7"/>
        <v>0.16209677419354837</v>
      </c>
      <c r="O93" s="301">
        <f t="shared" si="8"/>
        <v>0.19354838709677419</v>
      </c>
      <c r="P93" s="301">
        <f t="shared" si="9"/>
        <v>0.25887096774193552</v>
      </c>
      <c r="Q93" s="301">
        <f t="shared" si="10"/>
        <v>0.30967741935483872</v>
      </c>
      <c r="R93" s="301">
        <f t="shared" si="11"/>
        <v>0.28306451612903227</v>
      </c>
      <c r="S93" s="301">
        <f t="shared" si="12"/>
        <v>0.25403225806451613</v>
      </c>
      <c r="T93" s="301">
        <f t="shared" si="13"/>
        <v>0.15</v>
      </c>
      <c r="U93" s="301">
        <f t="shared" si="14"/>
        <v>0.16451612903225804</v>
      </c>
      <c r="V93" s="301">
        <f t="shared" si="15"/>
        <v>0.17419354838709675</v>
      </c>
      <c r="W93" s="209"/>
      <c r="X93" s="209"/>
      <c r="Y93" s="209"/>
      <c r="Z93" s="235">
        <v>23</v>
      </c>
      <c r="AA93" s="305">
        <f t="shared" si="16"/>
        <v>0</v>
      </c>
      <c r="AB93" s="305">
        <f t="shared" si="17"/>
        <v>0</v>
      </c>
      <c r="AC93" s="305">
        <f t="shared" si="18"/>
        <v>0</v>
      </c>
      <c r="AD93" s="305">
        <f t="shared" si="19"/>
        <v>0</v>
      </c>
      <c r="AE93" s="305">
        <f t="shared" si="20"/>
        <v>0</v>
      </c>
      <c r="AF93" s="305">
        <f t="shared" si="21"/>
        <v>0</v>
      </c>
      <c r="AG93" s="305">
        <f t="shared" si="22"/>
        <v>0</v>
      </c>
      <c r="AH93" s="305">
        <f t="shared" si="23"/>
        <v>0</v>
      </c>
      <c r="AI93" s="305">
        <f t="shared" si="24"/>
        <v>0</v>
      </c>
      <c r="AJ93" s="305">
        <f t="shared" si="25"/>
        <v>0</v>
      </c>
      <c r="AK93" s="305">
        <f t="shared" si="26"/>
        <v>0</v>
      </c>
      <c r="AL93" s="305">
        <f t="shared" si="27"/>
        <v>0</v>
      </c>
      <c r="AM93" s="249"/>
    </row>
    <row r="94" spans="1:39">
      <c r="A94" s="209"/>
      <c r="B94" s="209"/>
      <c r="C94" s="209"/>
      <c r="D94" s="209"/>
      <c r="E94" s="209"/>
      <c r="F94" s="209"/>
      <c r="G94" s="203"/>
      <c r="H94" s="203"/>
      <c r="I94" s="523" t="s">
        <v>240</v>
      </c>
      <c r="J94" s="524"/>
      <c r="K94" s="253">
        <f>SUM(K70:K93)</f>
        <v>5.806451612903226</v>
      </c>
      <c r="L94" s="253">
        <f t="shared" ref="L94:V94" si="28">SUM(L70:L93)</f>
        <v>4.6774193548387091</v>
      </c>
      <c r="M94" s="253">
        <f t="shared" si="28"/>
        <v>5.161290322580645</v>
      </c>
      <c r="N94" s="253">
        <f t="shared" si="28"/>
        <v>5.403225806451613</v>
      </c>
      <c r="O94" s="253">
        <f t="shared" si="28"/>
        <v>6.4516129032258043</v>
      </c>
      <c r="P94" s="253">
        <f t="shared" si="28"/>
        <v>8.6290322580645178</v>
      </c>
      <c r="Q94" s="253">
        <f t="shared" si="28"/>
        <v>10.32258064516129</v>
      </c>
      <c r="R94" s="253">
        <f t="shared" si="28"/>
        <v>9.4354838709677438</v>
      </c>
      <c r="S94" s="253">
        <f t="shared" si="28"/>
        <v>8.4677419354838701</v>
      </c>
      <c r="T94" s="253">
        <f t="shared" si="28"/>
        <v>5</v>
      </c>
      <c r="U94" s="253">
        <f t="shared" si="28"/>
        <v>5.4838709677419351</v>
      </c>
      <c r="V94" s="253">
        <f t="shared" si="28"/>
        <v>5.806451612903226</v>
      </c>
      <c r="W94" s="211" t="s">
        <v>241</v>
      </c>
      <c r="X94" s="217"/>
      <c r="Y94" s="209"/>
      <c r="Z94" s="244"/>
      <c r="AA94" s="213">
        <f>SUM(AA70:AA93)</f>
        <v>3.7161290322580642</v>
      </c>
      <c r="AB94" s="213">
        <f t="shared" ref="AB94:AL94" si="29">SUM(AB70:AB93)</f>
        <v>5.1096774193548375</v>
      </c>
      <c r="AC94" s="213">
        <f t="shared" si="29"/>
        <v>8.9419354838709673</v>
      </c>
      <c r="AD94" s="213">
        <f t="shared" si="29"/>
        <v>11.729032258064512</v>
      </c>
      <c r="AE94" s="213">
        <f t="shared" si="29"/>
        <v>14.4</v>
      </c>
      <c r="AF94" s="213">
        <f t="shared" si="29"/>
        <v>15.212903225806452</v>
      </c>
      <c r="AG94" s="213">
        <f t="shared" si="29"/>
        <v>16.490322580645163</v>
      </c>
      <c r="AH94" s="213">
        <f t="shared" si="29"/>
        <v>14.051612903225806</v>
      </c>
      <c r="AI94" s="213">
        <f t="shared" si="29"/>
        <v>10.683870967741937</v>
      </c>
      <c r="AJ94" s="213">
        <f t="shared" si="29"/>
        <v>8.0129032258064505</v>
      </c>
      <c r="AK94" s="213">
        <f t="shared" si="29"/>
        <v>4.2967741935483872</v>
      </c>
      <c r="AL94" s="213">
        <f t="shared" si="29"/>
        <v>3.4838709677419355</v>
      </c>
      <c r="AM94" s="249"/>
    </row>
    <row r="95" spans="1:39">
      <c r="A95" s="209"/>
      <c r="B95" s="209"/>
      <c r="C95" s="209"/>
      <c r="D95" s="209"/>
      <c r="E95" s="209"/>
      <c r="F95" s="209"/>
      <c r="G95" s="203"/>
      <c r="H95" s="203"/>
      <c r="I95" s="526" t="s">
        <v>242</v>
      </c>
      <c r="J95" s="527"/>
      <c r="K95" s="253">
        <f>K94*31</f>
        <v>180</v>
      </c>
      <c r="L95" s="253">
        <f t="shared" ref="L95:V95" si="30">L94*31</f>
        <v>144.99999999999997</v>
      </c>
      <c r="M95" s="253">
        <f t="shared" si="30"/>
        <v>160</v>
      </c>
      <c r="N95" s="253">
        <f t="shared" si="30"/>
        <v>167.5</v>
      </c>
      <c r="O95" s="253">
        <f t="shared" si="30"/>
        <v>199.99999999999994</v>
      </c>
      <c r="P95" s="253">
        <f t="shared" si="30"/>
        <v>267.50000000000006</v>
      </c>
      <c r="Q95" s="253">
        <f t="shared" si="30"/>
        <v>320</v>
      </c>
      <c r="R95" s="253">
        <f t="shared" si="30"/>
        <v>292.50000000000006</v>
      </c>
      <c r="S95" s="253">
        <f t="shared" si="30"/>
        <v>262.5</v>
      </c>
      <c r="T95" s="253">
        <f t="shared" si="30"/>
        <v>155</v>
      </c>
      <c r="U95" s="253">
        <f t="shared" si="30"/>
        <v>170</v>
      </c>
      <c r="V95" s="253">
        <f t="shared" si="30"/>
        <v>180</v>
      </c>
      <c r="W95" s="254">
        <f>SUM(K95:V95)</f>
        <v>2500</v>
      </c>
      <c r="X95" s="255"/>
      <c r="Y95" s="209"/>
      <c r="Z95" s="247" t="s">
        <v>243</v>
      </c>
      <c r="AA95" s="256">
        <f>SUM(AA70:AA93)*31</f>
        <v>115.19999999999999</v>
      </c>
      <c r="AB95" s="256">
        <f t="shared" ref="AB95:AL95" si="31">SUM(AB70:AB93)*31</f>
        <v>158.39999999999998</v>
      </c>
      <c r="AC95" s="256">
        <f t="shared" si="31"/>
        <v>277.2</v>
      </c>
      <c r="AD95" s="256">
        <f t="shared" si="31"/>
        <v>363.59999999999985</v>
      </c>
      <c r="AE95" s="256">
        <f t="shared" si="31"/>
        <v>446.40000000000003</v>
      </c>
      <c r="AF95" s="256">
        <f t="shared" si="31"/>
        <v>471.6</v>
      </c>
      <c r="AG95" s="256">
        <f t="shared" si="31"/>
        <v>511.20000000000005</v>
      </c>
      <c r="AH95" s="256">
        <f t="shared" si="31"/>
        <v>435.59999999999997</v>
      </c>
      <c r="AI95" s="256">
        <f t="shared" si="31"/>
        <v>331.20000000000005</v>
      </c>
      <c r="AJ95" s="256">
        <f t="shared" si="31"/>
        <v>248.39999999999998</v>
      </c>
      <c r="AK95" s="256">
        <f t="shared" si="31"/>
        <v>133.19999999999999</v>
      </c>
      <c r="AL95" s="256">
        <f t="shared" si="31"/>
        <v>108</v>
      </c>
      <c r="AM95" s="304">
        <f>SUM(AA95:AL95)</f>
        <v>3600.0000000000005</v>
      </c>
    </row>
    <row r="96" spans="1:39">
      <c r="A96" s="209"/>
      <c r="B96" s="209"/>
      <c r="C96" s="209"/>
      <c r="D96" s="209"/>
      <c r="E96" s="209"/>
      <c r="F96" s="209"/>
      <c r="G96" s="203"/>
      <c r="H96" s="203"/>
      <c r="I96" s="257"/>
      <c r="J96" s="257"/>
      <c r="K96" s="258" t="s">
        <v>223</v>
      </c>
      <c r="L96" s="258" t="s">
        <v>224</v>
      </c>
      <c r="M96" s="258" t="s">
        <v>225</v>
      </c>
      <c r="N96" s="258" t="s">
        <v>226</v>
      </c>
      <c r="O96" s="258" t="s">
        <v>227</v>
      </c>
      <c r="P96" s="258" t="s">
        <v>228</v>
      </c>
      <c r="Q96" s="258" t="s">
        <v>229</v>
      </c>
      <c r="R96" s="258" t="s">
        <v>230</v>
      </c>
      <c r="S96" s="258" t="s">
        <v>231</v>
      </c>
      <c r="T96" s="258" t="s">
        <v>232</v>
      </c>
      <c r="U96" s="258" t="s">
        <v>233</v>
      </c>
      <c r="V96" s="258" t="s">
        <v>234</v>
      </c>
      <c r="W96" s="251"/>
      <c r="X96" s="251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49"/>
    </row>
    <row r="97" spans="1:39">
      <c r="A97" s="244"/>
      <c r="B97" s="244"/>
      <c r="C97" s="244"/>
      <c r="D97" s="244"/>
      <c r="E97" s="244"/>
      <c r="F97" s="244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49"/>
    </row>
    <row r="98" spans="1:39">
      <c r="A98" s="275"/>
      <c r="B98" s="275"/>
      <c r="C98" s="275"/>
      <c r="D98" s="275"/>
      <c r="E98" s="275"/>
      <c r="F98" s="275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</row>
    <row r="99" spans="1:39">
      <c r="A99" s="209"/>
      <c r="B99" s="209"/>
      <c r="C99" s="208"/>
      <c r="D99" s="209"/>
      <c r="E99" s="209"/>
      <c r="F99" s="209"/>
      <c r="G99" s="203"/>
      <c r="H99" s="203"/>
      <c r="I99" s="224"/>
      <c r="J99" s="548" t="s">
        <v>244</v>
      </c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50"/>
      <c r="W99" s="209"/>
      <c r="X99" s="209"/>
      <c r="Y99" s="224"/>
      <c r="Z99" s="530" t="s">
        <v>245</v>
      </c>
      <c r="AA99" s="530"/>
      <c r="AB99" s="530"/>
      <c r="AC99" s="530"/>
      <c r="AD99" s="530"/>
      <c r="AE99" s="530"/>
      <c r="AF99" s="530"/>
      <c r="AG99" s="530"/>
      <c r="AH99" s="530"/>
      <c r="AI99" s="530"/>
      <c r="AJ99" s="530"/>
      <c r="AK99" s="530"/>
      <c r="AL99" s="530"/>
      <c r="AM99" s="249"/>
    </row>
    <row r="100" spans="1:39" ht="24">
      <c r="A100" s="209"/>
      <c r="B100" s="209"/>
      <c r="C100" s="212"/>
      <c r="D100" s="277"/>
      <c r="E100" s="209"/>
      <c r="F100" s="209"/>
      <c r="G100" s="203"/>
      <c r="H100" s="203"/>
      <c r="I100" s="224"/>
      <c r="J100" s="225" t="s">
        <v>222</v>
      </c>
      <c r="K100" s="226" t="s">
        <v>223</v>
      </c>
      <c r="L100" s="226" t="s">
        <v>224</v>
      </c>
      <c r="M100" s="226" t="s">
        <v>225</v>
      </c>
      <c r="N100" s="226" t="s">
        <v>226</v>
      </c>
      <c r="O100" s="226" t="s">
        <v>227</v>
      </c>
      <c r="P100" s="226" t="s">
        <v>228</v>
      </c>
      <c r="Q100" s="226" t="s">
        <v>229</v>
      </c>
      <c r="R100" s="226" t="s">
        <v>230</v>
      </c>
      <c r="S100" s="226" t="s">
        <v>231</v>
      </c>
      <c r="T100" s="226" t="s">
        <v>232</v>
      </c>
      <c r="U100" s="226" t="s">
        <v>233</v>
      </c>
      <c r="V100" s="226" t="s">
        <v>234</v>
      </c>
      <c r="W100" s="209"/>
      <c r="X100" s="209"/>
      <c r="Y100" s="224"/>
      <c r="Z100" s="225" t="s">
        <v>222</v>
      </c>
      <c r="AA100" s="230" t="s">
        <v>223</v>
      </c>
      <c r="AB100" s="230" t="s">
        <v>224</v>
      </c>
      <c r="AC100" s="230" t="s">
        <v>225</v>
      </c>
      <c r="AD100" s="230" t="s">
        <v>226</v>
      </c>
      <c r="AE100" s="230" t="s">
        <v>227</v>
      </c>
      <c r="AF100" s="230" t="s">
        <v>228</v>
      </c>
      <c r="AG100" s="230" t="s">
        <v>229</v>
      </c>
      <c r="AH100" s="230" t="s">
        <v>230</v>
      </c>
      <c r="AI100" s="230" t="s">
        <v>231</v>
      </c>
      <c r="AJ100" s="230" t="s">
        <v>232</v>
      </c>
      <c r="AK100" s="230" t="s">
        <v>233</v>
      </c>
      <c r="AL100" s="230" t="s">
        <v>234</v>
      </c>
      <c r="AM100" s="249"/>
    </row>
    <row r="101" spans="1:39">
      <c r="A101" s="277"/>
      <c r="B101" s="531"/>
      <c r="C101" s="531"/>
      <c r="D101" s="277"/>
      <c r="E101" s="209"/>
      <c r="F101" s="209"/>
      <c r="G101" s="203"/>
      <c r="H101" s="203"/>
      <c r="I101" s="224"/>
      <c r="J101" s="231">
        <v>0</v>
      </c>
      <c r="K101" s="253">
        <f>IF(AA70&gt;K70,K70,IF(AA70=0,0,AA70))</f>
        <v>0</v>
      </c>
      <c r="L101" s="253">
        <f t="shared" ref="L101:V115" si="32">IF(AB70&gt;L70,L70,IF(AB70=0,0,AB70))</f>
        <v>0</v>
      </c>
      <c r="M101" s="253">
        <f t="shared" si="32"/>
        <v>0</v>
      </c>
      <c r="N101" s="253">
        <f t="shared" si="32"/>
        <v>0</v>
      </c>
      <c r="O101" s="253">
        <f t="shared" si="32"/>
        <v>0</v>
      </c>
      <c r="P101" s="253">
        <f t="shared" si="32"/>
        <v>0</v>
      </c>
      <c r="Q101" s="253">
        <f t="shared" si="32"/>
        <v>0</v>
      </c>
      <c r="R101" s="253">
        <f t="shared" si="32"/>
        <v>0</v>
      </c>
      <c r="S101" s="253">
        <f t="shared" si="32"/>
        <v>0</v>
      </c>
      <c r="T101" s="253">
        <f t="shared" si="32"/>
        <v>0</v>
      </c>
      <c r="U101" s="253">
        <f t="shared" si="32"/>
        <v>0</v>
      </c>
      <c r="V101" s="253">
        <f t="shared" si="32"/>
        <v>0</v>
      </c>
      <c r="W101" s="209"/>
      <c r="X101" s="209"/>
      <c r="Y101" s="224"/>
      <c r="Z101" s="230">
        <v>0</v>
      </c>
      <c r="AA101" s="253">
        <f>AA70-K101</f>
        <v>0</v>
      </c>
      <c r="AB101" s="253">
        <f t="shared" ref="AB101:AL115" si="33">AB70-L101</f>
        <v>0</v>
      </c>
      <c r="AC101" s="253">
        <f t="shared" si="33"/>
        <v>0</v>
      </c>
      <c r="AD101" s="253">
        <f t="shared" si="33"/>
        <v>0</v>
      </c>
      <c r="AE101" s="253">
        <f t="shared" si="33"/>
        <v>0</v>
      </c>
      <c r="AF101" s="253">
        <f t="shared" si="33"/>
        <v>0</v>
      </c>
      <c r="AG101" s="253">
        <f t="shared" si="33"/>
        <v>0</v>
      </c>
      <c r="AH101" s="253">
        <f t="shared" si="33"/>
        <v>0</v>
      </c>
      <c r="AI101" s="253">
        <f t="shared" si="33"/>
        <v>0</v>
      </c>
      <c r="AJ101" s="253">
        <f t="shared" si="33"/>
        <v>0</v>
      </c>
      <c r="AK101" s="253">
        <f t="shared" si="33"/>
        <v>0</v>
      </c>
      <c r="AL101" s="253">
        <f t="shared" si="33"/>
        <v>0</v>
      </c>
      <c r="AM101" s="249"/>
    </row>
    <row r="102" spans="1:39">
      <c r="A102" s="209"/>
      <c r="B102" s="532"/>
      <c r="C102" s="531"/>
      <c r="D102" s="277"/>
      <c r="E102" s="209"/>
      <c r="F102" s="209"/>
      <c r="G102" s="203"/>
      <c r="H102" s="203"/>
      <c r="I102" s="224"/>
      <c r="J102" s="231">
        <v>1</v>
      </c>
      <c r="K102" s="253">
        <f t="shared" ref="K102:K115" si="34">IF(AA71&gt;K71,K71,IF(AA71=0,0,AA71))</f>
        <v>0</v>
      </c>
      <c r="L102" s="253">
        <f t="shared" si="32"/>
        <v>0</v>
      </c>
      <c r="M102" s="253">
        <f t="shared" si="32"/>
        <v>0</v>
      </c>
      <c r="N102" s="253">
        <f t="shared" si="32"/>
        <v>0</v>
      </c>
      <c r="O102" s="253">
        <f t="shared" si="32"/>
        <v>0</v>
      </c>
      <c r="P102" s="253">
        <f t="shared" si="32"/>
        <v>0</v>
      </c>
      <c r="Q102" s="253">
        <f t="shared" si="32"/>
        <v>0</v>
      </c>
      <c r="R102" s="253">
        <f t="shared" si="32"/>
        <v>0</v>
      </c>
      <c r="S102" s="253">
        <f t="shared" si="32"/>
        <v>0</v>
      </c>
      <c r="T102" s="253">
        <f t="shared" si="32"/>
        <v>0</v>
      </c>
      <c r="U102" s="253">
        <f t="shared" si="32"/>
        <v>0</v>
      </c>
      <c r="V102" s="253">
        <f t="shared" si="32"/>
        <v>0</v>
      </c>
      <c r="W102" s="209"/>
      <c r="X102" s="209"/>
      <c r="Y102" s="224"/>
      <c r="Z102" s="230">
        <v>1</v>
      </c>
      <c r="AA102" s="253">
        <f t="shared" ref="AA102:AA115" si="35">AA71-K102</f>
        <v>0</v>
      </c>
      <c r="AB102" s="253">
        <f t="shared" si="33"/>
        <v>0</v>
      </c>
      <c r="AC102" s="253">
        <f t="shared" si="33"/>
        <v>0</v>
      </c>
      <c r="AD102" s="253">
        <f t="shared" si="33"/>
        <v>0</v>
      </c>
      <c r="AE102" s="253">
        <f t="shared" si="33"/>
        <v>0</v>
      </c>
      <c r="AF102" s="253">
        <f t="shared" si="33"/>
        <v>0</v>
      </c>
      <c r="AG102" s="253">
        <f t="shared" si="33"/>
        <v>0</v>
      </c>
      <c r="AH102" s="253">
        <f t="shared" si="33"/>
        <v>0</v>
      </c>
      <c r="AI102" s="253">
        <f t="shared" si="33"/>
        <v>0</v>
      </c>
      <c r="AJ102" s="253">
        <f t="shared" si="33"/>
        <v>0</v>
      </c>
      <c r="AK102" s="253">
        <f t="shared" si="33"/>
        <v>0</v>
      </c>
      <c r="AL102" s="253">
        <f t="shared" si="33"/>
        <v>0</v>
      </c>
      <c r="AM102" s="249"/>
    </row>
    <row r="103" spans="1:39">
      <c r="A103" s="209"/>
      <c r="B103" s="209"/>
      <c r="C103" s="209"/>
      <c r="D103" s="533"/>
      <c r="E103" s="533"/>
      <c r="F103" s="277"/>
      <c r="G103" s="203"/>
      <c r="H103" s="203"/>
      <c r="I103" s="224"/>
      <c r="J103" s="231">
        <v>2</v>
      </c>
      <c r="K103" s="253">
        <f t="shared" si="34"/>
        <v>0</v>
      </c>
      <c r="L103" s="253">
        <f t="shared" si="32"/>
        <v>0</v>
      </c>
      <c r="M103" s="253">
        <f t="shared" si="32"/>
        <v>0</v>
      </c>
      <c r="N103" s="253">
        <f t="shared" si="32"/>
        <v>0</v>
      </c>
      <c r="O103" s="253">
        <f t="shared" si="32"/>
        <v>0</v>
      </c>
      <c r="P103" s="253">
        <f t="shared" si="32"/>
        <v>0</v>
      </c>
      <c r="Q103" s="253">
        <f t="shared" si="32"/>
        <v>0</v>
      </c>
      <c r="R103" s="253">
        <f t="shared" si="32"/>
        <v>0</v>
      </c>
      <c r="S103" s="253">
        <f t="shared" si="32"/>
        <v>0</v>
      </c>
      <c r="T103" s="253">
        <f t="shared" si="32"/>
        <v>0</v>
      </c>
      <c r="U103" s="253">
        <f t="shared" si="32"/>
        <v>0</v>
      </c>
      <c r="V103" s="253">
        <f t="shared" si="32"/>
        <v>0</v>
      </c>
      <c r="W103" s="209"/>
      <c r="X103" s="209"/>
      <c r="Y103" s="224"/>
      <c r="Z103" s="230">
        <v>2</v>
      </c>
      <c r="AA103" s="253">
        <f t="shared" si="35"/>
        <v>0</v>
      </c>
      <c r="AB103" s="253">
        <f t="shared" si="33"/>
        <v>0</v>
      </c>
      <c r="AC103" s="253">
        <f t="shared" si="33"/>
        <v>0</v>
      </c>
      <c r="AD103" s="253">
        <f t="shared" si="33"/>
        <v>0</v>
      </c>
      <c r="AE103" s="253">
        <f t="shared" si="33"/>
        <v>0</v>
      </c>
      <c r="AF103" s="253">
        <f t="shared" si="33"/>
        <v>0</v>
      </c>
      <c r="AG103" s="253">
        <f t="shared" si="33"/>
        <v>0</v>
      </c>
      <c r="AH103" s="253">
        <f t="shared" si="33"/>
        <v>0</v>
      </c>
      <c r="AI103" s="253">
        <f t="shared" si="33"/>
        <v>0</v>
      </c>
      <c r="AJ103" s="253">
        <f t="shared" si="33"/>
        <v>0</v>
      </c>
      <c r="AK103" s="253">
        <f t="shared" si="33"/>
        <v>0</v>
      </c>
      <c r="AL103" s="253">
        <f t="shared" si="33"/>
        <v>0</v>
      </c>
      <c r="AM103" s="249"/>
    </row>
    <row r="104" spans="1:39">
      <c r="A104" s="209"/>
      <c r="B104" s="534"/>
      <c r="C104" s="534"/>
      <c r="D104" s="289"/>
      <c r="E104" s="289"/>
      <c r="F104" s="289"/>
      <c r="G104" s="203"/>
      <c r="H104" s="203"/>
      <c r="I104" s="224"/>
      <c r="J104" s="231">
        <v>3</v>
      </c>
      <c r="K104" s="253">
        <f t="shared" si="34"/>
        <v>0</v>
      </c>
      <c r="L104" s="253">
        <f t="shared" si="32"/>
        <v>0</v>
      </c>
      <c r="M104" s="253">
        <f t="shared" si="32"/>
        <v>0</v>
      </c>
      <c r="N104" s="253">
        <f t="shared" si="32"/>
        <v>0</v>
      </c>
      <c r="O104" s="253">
        <f t="shared" si="32"/>
        <v>0</v>
      </c>
      <c r="P104" s="253">
        <f t="shared" si="32"/>
        <v>0</v>
      </c>
      <c r="Q104" s="253">
        <f t="shared" si="32"/>
        <v>0</v>
      </c>
      <c r="R104" s="253">
        <f t="shared" si="32"/>
        <v>0</v>
      </c>
      <c r="S104" s="253">
        <f t="shared" si="32"/>
        <v>0</v>
      </c>
      <c r="T104" s="253">
        <f t="shared" si="32"/>
        <v>0</v>
      </c>
      <c r="U104" s="253">
        <f t="shared" si="32"/>
        <v>0</v>
      </c>
      <c r="V104" s="253">
        <f t="shared" si="32"/>
        <v>0</v>
      </c>
      <c r="W104" s="209"/>
      <c r="X104" s="209"/>
      <c r="Y104" s="224"/>
      <c r="Z104" s="230">
        <v>3</v>
      </c>
      <c r="AA104" s="253">
        <f t="shared" si="35"/>
        <v>0</v>
      </c>
      <c r="AB104" s="253">
        <f t="shared" si="33"/>
        <v>0</v>
      </c>
      <c r="AC104" s="253">
        <f t="shared" si="33"/>
        <v>0</v>
      </c>
      <c r="AD104" s="253">
        <f t="shared" si="33"/>
        <v>0</v>
      </c>
      <c r="AE104" s="253">
        <f t="shared" si="33"/>
        <v>0</v>
      </c>
      <c r="AF104" s="253">
        <f t="shared" si="33"/>
        <v>0</v>
      </c>
      <c r="AG104" s="253">
        <f t="shared" si="33"/>
        <v>0</v>
      </c>
      <c r="AH104" s="253">
        <f t="shared" si="33"/>
        <v>0</v>
      </c>
      <c r="AI104" s="253">
        <f t="shared" si="33"/>
        <v>0</v>
      </c>
      <c r="AJ104" s="253">
        <f t="shared" si="33"/>
        <v>0</v>
      </c>
      <c r="AK104" s="253">
        <f t="shared" si="33"/>
        <v>0</v>
      </c>
      <c r="AL104" s="253">
        <f t="shared" si="33"/>
        <v>0</v>
      </c>
      <c r="AM104" s="249"/>
    </row>
    <row r="105" spans="1:39">
      <c r="A105" s="209"/>
      <c r="B105" s="534"/>
      <c r="C105" s="534"/>
      <c r="D105" s="289"/>
      <c r="E105" s="289"/>
      <c r="F105" s="289"/>
      <c r="G105" s="203"/>
      <c r="H105" s="203"/>
      <c r="I105" s="224"/>
      <c r="J105" s="231">
        <v>4</v>
      </c>
      <c r="K105" s="253">
        <f t="shared" si="34"/>
        <v>0</v>
      </c>
      <c r="L105" s="253">
        <f t="shared" si="32"/>
        <v>0</v>
      </c>
      <c r="M105" s="253">
        <f t="shared" si="32"/>
        <v>0</v>
      </c>
      <c r="N105" s="253">
        <f t="shared" si="32"/>
        <v>0</v>
      </c>
      <c r="O105" s="253">
        <f t="shared" si="32"/>
        <v>0</v>
      </c>
      <c r="P105" s="253">
        <f t="shared" si="32"/>
        <v>0</v>
      </c>
      <c r="Q105" s="253">
        <f t="shared" si="32"/>
        <v>0</v>
      </c>
      <c r="R105" s="253">
        <f t="shared" si="32"/>
        <v>0</v>
      </c>
      <c r="S105" s="253">
        <f t="shared" si="32"/>
        <v>0</v>
      </c>
      <c r="T105" s="253">
        <f t="shared" si="32"/>
        <v>0</v>
      </c>
      <c r="U105" s="253">
        <f t="shared" si="32"/>
        <v>0</v>
      </c>
      <c r="V105" s="253">
        <f t="shared" si="32"/>
        <v>0</v>
      </c>
      <c r="W105" s="209"/>
      <c r="X105" s="209"/>
      <c r="Y105" s="224"/>
      <c r="Z105" s="230">
        <v>4</v>
      </c>
      <c r="AA105" s="253">
        <f t="shared" si="35"/>
        <v>0</v>
      </c>
      <c r="AB105" s="253">
        <f t="shared" si="33"/>
        <v>0</v>
      </c>
      <c r="AC105" s="253">
        <f t="shared" si="33"/>
        <v>0</v>
      </c>
      <c r="AD105" s="253">
        <f t="shared" si="33"/>
        <v>0</v>
      </c>
      <c r="AE105" s="253">
        <f t="shared" si="33"/>
        <v>0</v>
      </c>
      <c r="AF105" s="253">
        <f t="shared" si="33"/>
        <v>0</v>
      </c>
      <c r="AG105" s="253">
        <f t="shared" si="33"/>
        <v>0</v>
      </c>
      <c r="AH105" s="253">
        <f t="shared" si="33"/>
        <v>0</v>
      </c>
      <c r="AI105" s="253">
        <f t="shared" si="33"/>
        <v>0</v>
      </c>
      <c r="AJ105" s="253">
        <f t="shared" si="33"/>
        <v>0</v>
      </c>
      <c r="AK105" s="253">
        <f t="shared" si="33"/>
        <v>0</v>
      </c>
      <c r="AL105" s="253">
        <f t="shared" si="33"/>
        <v>0</v>
      </c>
      <c r="AM105" s="249"/>
    </row>
    <row r="106" spans="1:39">
      <c r="A106" s="277"/>
      <c r="B106" s="534"/>
      <c r="C106" s="534"/>
      <c r="D106" s="289"/>
      <c r="E106" s="289"/>
      <c r="F106" s="289"/>
      <c r="G106" s="203"/>
      <c r="H106" s="203"/>
      <c r="I106" s="224"/>
      <c r="J106" s="231">
        <v>5</v>
      </c>
      <c r="K106" s="253">
        <f t="shared" si="34"/>
        <v>0</v>
      </c>
      <c r="L106" s="253">
        <f t="shared" si="32"/>
        <v>0</v>
      </c>
      <c r="M106" s="253">
        <f t="shared" si="32"/>
        <v>0</v>
      </c>
      <c r="N106" s="253">
        <f t="shared" si="32"/>
        <v>1.277206215717209E-2</v>
      </c>
      <c r="O106" s="253">
        <f t="shared" si="32"/>
        <v>0.16744324835019128</v>
      </c>
      <c r="P106" s="253">
        <f t="shared" si="32"/>
        <v>0.23968024698532411</v>
      </c>
      <c r="Q106" s="253">
        <f t="shared" si="32"/>
        <v>0.19461223090158866</v>
      </c>
      <c r="R106" s="253">
        <f t="shared" si="32"/>
        <v>3.2101165604871959E-2</v>
      </c>
      <c r="S106" s="253">
        <f t="shared" si="32"/>
        <v>0</v>
      </c>
      <c r="T106" s="253">
        <f t="shared" si="32"/>
        <v>0</v>
      </c>
      <c r="U106" s="253">
        <f t="shared" si="32"/>
        <v>0</v>
      </c>
      <c r="V106" s="253">
        <f t="shared" si="32"/>
        <v>0</v>
      </c>
      <c r="W106" s="209"/>
      <c r="X106" s="209"/>
      <c r="Y106" s="224"/>
      <c r="Z106" s="230">
        <v>5</v>
      </c>
      <c r="AA106" s="253">
        <f t="shared" si="35"/>
        <v>0</v>
      </c>
      <c r="AB106" s="253">
        <f t="shared" si="33"/>
        <v>0</v>
      </c>
      <c r="AC106" s="253">
        <f t="shared" si="33"/>
        <v>0</v>
      </c>
      <c r="AD106" s="253">
        <f t="shared" si="33"/>
        <v>0</v>
      </c>
      <c r="AE106" s="253">
        <f t="shared" si="33"/>
        <v>0</v>
      </c>
      <c r="AF106" s="253">
        <f t="shared" si="33"/>
        <v>0</v>
      </c>
      <c r="AG106" s="253">
        <f t="shared" si="33"/>
        <v>0</v>
      </c>
      <c r="AH106" s="253">
        <f t="shared" si="33"/>
        <v>0</v>
      </c>
      <c r="AI106" s="253">
        <f t="shared" si="33"/>
        <v>0</v>
      </c>
      <c r="AJ106" s="253">
        <f t="shared" si="33"/>
        <v>0</v>
      </c>
      <c r="AK106" s="253">
        <f t="shared" si="33"/>
        <v>0</v>
      </c>
      <c r="AL106" s="253">
        <f t="shared" si="33"/>
        <v>0</v>
      </c>
      <c r="AM106" s="249"/>
    </row>
    <row r="107" spans="1:39">
      <c r="A107" s="209"/>
      <c r="B107" s="534"/>
      <c r="C107" s="534"/>
      <c r="D107" s="289"/>
      <c r="E107" s="289"/>
      <c r="F107" s="289"/>
      <c r="G107" s="203"/>
      <c r="H107" s="203"/>
      <c r="I107" s="224"/>
      <c r="J107" s="231">
        <v>6</v>
      </c>
      <c r="K107" s="253">
        <f t="shared" si="34"/>
        <v>0</v>
      </c>
      <c r="L107" s="253">
        <f t="shared" si="32"/>
        <v>0</v>
      </c>
      <c r="M107" s="253">
        <f t="shared" si="32"/>
        <v>4.8131903727142142E-2</v>
      </c>
      <c r="N107" s="253">
        <f t="shared" si="32"/>
        <v>0.21612903225806451</v>
      </c>
      <c r="O107" s="253">
        <f t="shared" si="32"/>
        <v>0.25806451612903225</v>
      </c>
      <c r="P107" s="253">
        <f t="shared" si="32"/>
        <v>0.34516129032258069</v>
      </c>
      <c r="Q107" s="253">
        <f t="shared" si="32"/>
        <v>0.41290322580645161</v>
      </c>
      <c r="R107" s="253">
        <f t="shared" si="32"/>
        <v>0.19837065781779564</v>
      </c>
      <c r="S107" s="253">
        <f t="shared" si="32"/>
        <v>0.11023231986521684</v>
      </c>
      <c r="T107" s="253">
        <f t="shared" si="32"/>
        <v>0</v>
      </c>
      <c r="U107" s="253">
        <f t="shared" si="32"/>
        <v>0</v>
      </c>
      <c r="V107" s="253">
        <f t="shared" si="32"/>
        <v>0</v>
      </c>
      <c r="W107" s="209"/>
      <c r="X107" s="209"/>
      <c r="Y107" s="224"/>
      <c r="Z107" s="230">
        <v>6</v>
      </c>
      <c r="AA107" s="253">
        <f t="shared" si="35"/>
        <v>0</v>
      </c>
      <c r="AB107" s="253">
        <f t="shared" si="33"/>
        <v>0</v>
      </c>
      <c r="AC107" s="253">
        <f t="shared" si="33"/>
        <v>0</v>
      </c>
      <c r="AD107" s="253">
        <f t="shared" si="33"/>
        <v>5.0952705426301759E-2</v>
      </c>
      <c r="AE107" s="253">
        <f t="shared" si="33"/>
        <v>0.1941259941558296</v>
      </c>
      <c r="AF107" s="253">
        <f t="shared" si="33"/>
        <v>0.15267742753216418</v>
      </c>
      <c r="AG107" s="253">
        <f t="shared" si="33"/>
        <v>6.4340508652635353E-2</v>
      </c>
      <c r="AH107" s="253">
        <f t="shared" si="33"/>
        <v>0</v>
      </c>
      <c r="AI107" s="253">
        <f t="shared" si="33"/>
        <v>0</v>
      </c>
      <c r="AJ107" s="253">
        <f t="shared" si="33"/>
        <v>0</v>
      </c>
      <c r="AK107" s="253">
        <f t="shared" si="33"/>
        <v>0</v>
      </c>
      <c r="AL107" s="253">
        <f t="shared" si="33"/>
        <v>0</v>
      </c>
      <c r="AM107" s="249"/>
    </row>
    <row r="108" spans="1:39">
      <c r="A108" s="209"/>
      <c r="B108" s="534"/>
      <c r="C108" s="534"/>
      <c r="D108" s="289"/>
      <c r="E108" s="289"/>
      <c r="F108" s="289"/>
      <c r="G108" s="203"/>
      <c r="H108" s="203"/>
      <c r="I108" s="224"/>
      <c r="J108" s="231">
        <v>7</v>
      </c>
      <c r="K108" s="253">
        <f t="shared" si="34"/>
        <v>0</v>
      </c>
      <c r="L108" s="253">
        <f t="shared" si="32"/>
        <v>0.10288519798809771</v>
      </c>
      <c r="M108" s="253">
        <f t="shared" si="32"/>
        <v>0.25806451612903225</v>
      </c>
      <c r="N108" s="253">
        <f t="shared" si="32"/>
        <v>0.27016129032258063</v>
      </c>
      <c r="O108" s="253">
        <f t="shared" si="32"/>
        <v>0.32258064516129031</v>
      </c>
      <c r="P108" s="253">
        <f t="shared" si="32"/>
        <v>0.43145161290322581</v>
      </c>
      <c r="Q108" s="253">
        <f t="shared" si="32"/>
        <v>0.5161290322580645</v>
      </c>
      <c r="R108" s="253">
        <f t="shared" si="32"/>
        <v>0.27217663195936809</v>
      </c>
      <c r="S108" s="253">
        <f t="shared" si="32"/>
        <v>0.42338709677419356</v>
      </c>
      <c r="T108" s="253">
        <f t="shared" si="32"/>
        <v>0.20620496517451001</v>
      </c>
      <c r="U108" s="253">
        <f t="shared" si="32"/>
        <v>1.9844809555251849E-2</v>
      </c>
      <c r="V108" s="253">
        <f t="shared" si="32"/>
        <v>0</v>
      </c>
      <c r="W108" s="209"/>
      <c r="X108" s="209"/>
      <c r="Y108" s="224"/>
      <c r="Z108" s="230">
        <v>7</v>
      </c>
      <c r="AA108" s="253">
        <f t="shared" si="35"/>
        <v>0</v>
      </c>
      <c r="AB108" s="253">
        <f t="shared" si="33"/>
        <v>0</v>
      </c>
      <c r="AC108" s="253">
        <f t="shared" si="33"/>
        <v>8.9356235484969737E-2</v>
      </c>
      <c r="AD108" s="253">
        <f t="shared" si="33"/>
        <v>0.28449826138230572</v>
      </c>
      <c r="AE108" s="253">
        <f t="shared" si="33"/>
        <v>0.41506245956165949</v>
      </c>
      <c r="AF108" s="253">
        <f t="shared" si="33"/>
        <v>0.34709658683505723</v>
      </c>
      <c r="AG108" s="253">
        <f t="shared" si="33"/>
        <v>0.29317015695488013</v>
      </c>
      <c r="AH108" s="253">
        <f t="shared" si="33"/>
        <v>0</v>
      </c>
      <c r="AI108" s="253">
        <f t="shared" si="33"/>
        <v>1.2946462051506236E-2</v>
      </c>
      <c r="AJ108" s="253">
        <f t="shared" si="33"/>
        <v>0</v>
      </c>
      <c r="AK108" s="253">
        <f t="shared" si="33"/>
        <v>0</v>
      </c>
      <c r="AL108" s="253">
        <f t="shared" si="33"/>
        <v>0</v>
      </c>
      <c r="AM108" s="249"/>
    </row>
    <row r="109" spans="1:39">
      <c r="A109" s="209"/>
      <c r="B109" s="534"/>
      <c r="C109" s="534"/>
      <c r="D109" s="289"/>
      <c r="E109" s="289"/>
      <c r="F109" s="289"/>
      <c r="G109" s="203"/>
      <c r="H109" s="203"/>
      <c r="I109" s="224"/>
      <c r="J109" s="231">
        <v>8</v>
      </c>
      <c r="K109" s="253">
        <f t="shared" si="34"/>
        <v>0.21471774775788813</v>
      </c>
      <c r="L109" s="253">
        <f t="shared" si="32"/>
        <v>0.28064516129032258</v>
      </c>
      <c r="M109" s="253">
        <f t="shared" si="32"/>
        <v>0.30967741935483872</v>
      </c>
      <c r="N109" s="253">
        <f t="shared" si="32"/>
        <v>0.32419354838709674</v>
      </c>
      <c r="O109" s="253">
        <f t="shared" si="32"/>
        <v>0.38709677419354838</v>
      </c>
      <c r="P109" s="253">
        <f t="shared" si="32"/>
        <v>0.51774193548387104</v>
      </c>
      <c r="Q109" s="253">
        <f t="shared" si="32"/>
        <v>0.61935483870967745</v>
      </c>
      <c r="R109" s="253">
        <f t="shared" si="32"/>
        <v>0.54930281337441234</v>
      </c>
      <c r="S109" s="253">
        <f t="shared" si="32"/>
        <v>0.50806451612903225</v>
      </c>
      <c r="T109" s="253">
        <f t="shared" si="32"/>
        <v>0.3</v>
      </c>
      <c r="U109" s="253">
        <f t="shared" si="32"/>
        <v>0.2605982885813693</v>
      </c>
      <c r="V109" s="253">
        <f t="shared" si="32"/>
        <v>0.16405421000479367</v>
      </c>
      <c r="W109" s="209"/>
      <c r="X109" s="209"/>
      <c r="Y109" s="224"/>
      <c r="Z109" s="230">
        <v>8</v>
      </c>
      <c r="AA109" s="253">
        <f t="shared" si="35"/>
        <v>0</v>
      </c>
      <c r="AB109" s="253">
        <f t="shared" si="33"/>
        <v>6.4792998781054989E-2</v>
      </c>
      <c r="AC109" s="253">
        <f t="shared" si="33"/>
        <v>0.29853124346436855</v>
      </c>
      <c r="AD109" s="253">
        <f t="shared" si="33"/>
        <v>0.47359112394465025</v>
      </c>
      <c r="AE109" s="253">
        <f t="shared" si="33"/>
        <v>0.57803637576368938</v>
      </c>
      <c r="AF109" s="253">
        <f t="shared" si="33"/>
        <v>0.48802893083151555</v>
      </c>
      <c r="AG109" s="253">
        <f t="shared" si="33"/>
        <v>0.4659137684998278</v>
      </c>
      <c r="AH109" s="253">
        <f t="shared" si="33"/>
        <v>0</v>
      </c>
      <c r="AI109" s="253">
        <f t="shared" si="33"/>
        <v>0.20974323694238928</v>
      </c>
      <c r="AJ109" s="253">
        <f t="shared" si="33"/>
        <v>0.22855889029028192</v>
      </c>
      <c r="AK109" s="253">
        <f t="shared" si="33"/>
        <v>0</v>
      </c>
      <c r="AL109" s="253">
        <f t="shared" si="33"/>
        <v>0</v>
      </c>
      <c r="AM109" s="249"/>
    </row>
    <row r="110" spans="1:39">
      <c r="A110" s="277"/>
      <c r="B110" s="209"/>
      <c r="C110" s="209"/>
      <c r="D110" s="209"/>
      <c r="E110" s="318"/>
      <c r="F110" s="209"/>
      <c r="G110" s="203"/>
      <c r="H110" s="203"/>
      <c r="I110" s="224"/>
      <c r="J110" s="231">
        <v>9</v>
      </c>
      <c r="K110" s="253">
        <f t="shared" si="34"/>
        <v>0.36886716120103824</v>
      </c>
      <c r="L110" s="253">
        <f t="shared" si="32"/>
        <v>0.42096774193548386</v>
      </c>
      <c r="M110" s="253">
        <f t="shared" si="32"/>
        <v>0.46451612903225803</v>
      </c>
      <c r="N110" s="253">
        <f t="shared" si="32"/>
        <v>0.48629032258064514</v>
      </c>
      <c r="O110" s="253">
        <f t="shared" si="32"/>
        <v>0.58064516129032262</v>
      </c>
      <c r="P110" s="253">
        <f t="shared" si="32"/>
        <v>0.77661290322580645</v>
      </c>
      <c r="Q110" s="253">
        <f t="shared" si="32"/>
        <v>0.92903225806451606</v>
      </c>
      <c r="R110" s="253">
        <f t="shared" si="32"/>
        <v>0.84919354838709671</v>
      </c>
      <c r="S110" s="253">
        <f t="shared" si="32"/>
        <v>0.76209677419354838</v>
      </c>
      <c r="T110" s="253">
        <f t="shared" si="32"/>
        <v>0.44999999999999996</v>
      </c>
      <c r="U110" s="253">
        <f t="shared" si="32"/>
        <v>0.41738728631768812</v>
      </c>
      <c r="V110" s="253">
        <f t="shared" si="32"/>
        <v>0.35044422996685914</v>
      </c>
      <c r="W110" s="209"/>
      <c r="X110" s="209"/>
      <c r="Y110" s="224"/>
      <c r="Z110" s="230">
        <v>9</v>
      </c>
      <c r="AA110" s="253">
        <f t="shared" si="35"/>
        <v>0</v>
      </c>
      <c r="AB110" s="253">
        <f t="shared" si="33"/>
        <v>5.9356820041424563E-2</v>
      </c>
      <c r="AC110" s="253">
        <f t="shared" si="33"/>
        <v>0.32409337406272642</v>
      </c>
      <c r="AD110" s="253">
        <f t="shared" si="33"/>
        <v>0.49527437594347018</v>
      </c>
      <c r="AE110" s="253">
        <f t="shared" si="33"/>
        <v>0.57142744401148737</v>
      </c>
      <c r="AF110" s="253">
        <f t="shared" si="33"/>
        <v>0.42207543172089279</v>
      </c>
      <c r="AG110" s="253">
        <f t="shared" si="33"/>
        <v>0.38923944158198198</v>
      </c>
      <c r="AH110" s="253">
        <f t="shared" si="33"/>
        <v>2.3429047373496381E-2</v>
      </c>
      <c r="AI110" s="253">
        <f t="shared" si="33"/>
        <v>0.1611241257480861</v>
      </c>
      <c r="AJ110" s="253">
        <f t="shared" si="33"/>
        <v>0.28146019360837837</v>
      </c>
      <c r="AK110" s="253">
        <f t="shared" si="33"/>
        <v>0</v>
      </c>
      <c r="AL110" s="253">
        <f t="shared" si="33"/>
        <v>0</v>
      </c>
      <c r="AM110" s="249"/>
    </row>
    <row r="111" spans="1:39">
      <c r="A111" s="209"/>
      <c r="B111" s="209"/>
      <c r="C111" s="277"/>
      <c r="D111" s="209"/>
      <c r="E111" s="209"/>
      <c r="F111" s="209"/>
      <c r="G111" s="203"/>
      <c r="H111" s="203"/>
      <c r="I111" s="224"/>
      <c r="J111" s="231">
        <v>10</v>
      </c>
      <c r="K111" s="253">
        <f t="shared" si="34"/>
        <v>0.23225806451612904</v>
      </c>
      <c r="L111" s="253">
        <f t="shared" si="32"/>
        <v>0.18709677419354839</v>
      </c>
      <c r="M111" s="253">
        <f t="shared" si="32"/>
        <v>0.20645161290322581</v>
      </c>
      <c r="N111" s="253">
        <f t="shared" si="32"/>
        <v>0.21612903225806451</v>
      </c>
      <c r="O111" s="253">
        <f t="shared" si="32"/>
        <v>0.25806451612903225</v>
      </c>
      <c r="P111" s="253">
        <f t="shared" si="32"/>
        <v>0.34516129032258069</v>
      </c>
      <c r="Q111" s="253">
        <f t="shared" si="32"/>
        <v>0.41290322580645161</v>
      </c>
      <c r="R111" s="253">
        <f t="shared" si="32"/>
        <v>0.3774193548387097</v>
      </c>
      <c r="S111" s="253">
        <f t="shared" si="32"/>
        <v>0.33870967741935482</v>
      </c>
      <c r="T111" s="253">
        <f t="shared" si="32"/>
        <v>0.2</v>
      </c>
      <c r="U111" s="253">
        <f t="shared" si="32"/>
        <v>0.21935483870967742</v>
      </c>
      <c r="V111" s="253">
        <f t="shared" si="32"/>
        <v>0.23225806451612904</v>
      </c>
      <c r="W111" s="209"/>
      <c r="X111" s="209"/>
      <c r="Y111" s="224"/>
      <c r="Z111" s="230">
        <v>10</v>
      </c>
      <c r="AA111" s="253">
        <f t="shared" si="35"/>
        <v>0.21384402838966995</v>
      </c>
      <c r="AB111" s="253">
        <f t="shared" si="33"/>
        <v>0.38066527596490907</v>
      </c>
      <c r="AC111" s="253">
        <f t="shared" si="33"/>
        <v>0.71955449327673515</v>
      </c>
      <c r="AD111" s="253">
        <f t="shared" si="33"/>
        <v>0.91205140594563372</v>
      </c>
      <c r="AE111" s="253">
        <f t="shared" si="33"/>
        <v>1.0432261047792131</v>
      </c>
      <c r="AF111" s="253">
        <f t="shared" si="33"/>
        <v>1.0075168045275096</v>
      </c>
      <c r="AG111" s="253">
        <f t="shared" si="33"/>
        <v>1.091355209596419</v>
      </c>
      <c r="AH111" s="253">
        <f t="shared" si="33"/>
        <v>0.78401228824141866</v>
      </c>
      <c r="AI111" s="253">
        <f t="shared" si="33"/>
        <v>0.74542546088657269</v>
      </c>
      <c r="AJ111" s="253">
        <f t="shared" si="33"/>
        <v>0.67512880590257085</v>
      </c>
      <c r="AK111" s="253">
        <f t="shared" si="33"/>
        <v>0.28528554933208072</v>
      </c>
      <c r="AL111" s="253">
        <f t="shared" si="33"/>
        <v>0.19739874567351931</v>
      </c>
      <c r="AM111" s="249"/>
    </row>
    <row r="112" spans="1:39">
      <c r="A112" s="209"/>
      <c r="B112" s="209"/>
      <c r="C112" s="277"/>
      <c r="D112" s="277"/>
      <c r="E112" s="277"/>
      <c r="F112" s="277"/>
      <c r="G112" s="203"/>
      <c r="H112" s="203"/>
      <c r="I112" s="224"/>
      <c r="J112" s="231">
        <v>11</v>
      </c>
      <c r="K112" s="253">
        <f t="shared" si="34"/>
        <v>0.17419354838709675</v>
      </c>
      <c r="L112" s="253">
        <f t="shared" si="32"/>
        <v>0.14032258064516129</v>
      </c>
      <c r="M112" s="253">
        <f t="shared" si="32"/>
        <v>0.15483870967741936</v>
      </c>
      <c r="N112" s="253">
        <f t="shared" si="32"/>
        <v>0.16209677419354837</v>
      </c>
      <c r="O112" s="253">
        <f t="shared" si="32"/>
        <v>0.19354838709677419</v>
      </c>
      <c r="P112" s="253">
        <f t="shared" si="32"/>
        <v>0.25887096774193552</v>
      </c>
      <c r="Q112" s="253">
        <f t="shared" si="32"/>
        <v>0.30967741935483872</v>
      </c>
      <c r="R112" s="253">
        <f t="shared" si="32"/>
        <v>0.28306451612903227</v>
      </c>
      <c r="S112" s="253">
        <f t="shared" si="32"/>
        <v>0.25403225806451613</v>
      </c>
      <c r="T112" s="253">
        <f t="shared" si="32"/>
        <v>0.15</v>
      </c>
      <c r="U112" s="253">
        <f t="shared" si="32"/>
        <v>0.16451612903225804</v>
      </c>
      <c r="V112" s="253">
        <f t="shared" si="32"/>
        <v>0.17419354838709675</v>
      </c>
      <c r="W112" s="209"/>
      <c r="X112" s="209"/>
      <c r="Y112" s="224"/>
      <c r="Z112" s="230">
        <v>11</v>
      </c>
      <c r="AA112" s="253">
        <f t="shared" si="35"/>
        <v>0.32259359826970824</v>
      </c>
      <c r="AB112" s="253">
        <f t="shared" si="33"/>
        <v>0.48681455285503855</v>
      </c>
      <c r="AC112" s="253">
        <f t="shared" si="33"/>
        <v>0.86446759220468961</v>
      </c>
      <c r="AD112" s="253">
        <f t="shared" si="33"/>
        <v>1.0656441836880637</v>
      </c>
      <c r="AE112" s="253">
        <f t="shared" si="33"/>
        <v>1.2090698485106213</v>
      </c>
      <c r="AF112" s="253">
        <f t="shared" si="33"/>
        <v>1.1983750306263175</v>
      </c>
      <c r="AG112" s="253">
        <f t="shared" si="33"/>
        <v>1.3208767064395994</v>
      </c>
      <c r="AH112" s="253">
        <f t="shared" si="33"/>
        <v>1.1129835799086756</v>
      </c>
      <c r="AI112" s="253">
        <f t="shared" si="33"/>
        <v>0.93937290288793396</v>
      </c>
      <c r="AJ112" s="253">
        <f t="shared" si="33"/>
        <v>0.82268805658516575</v>
      </c>
      <c r="AK112" s="253">
        <f t="shared" si="33"/>
        <v>0.39849676687009555</v>
      </c>
      <c r="AL112" s="253">
        <f t="shared" si="33"/>
        <v>0.30590003407502442</v>
      </c>
      <c r="AM112" s="249"/>
    </row>
    <row r="113" spans="1:40">
      <c r="A113" s="209"/>
      <c r="B113" s="209"/>
      <c r="C113" s="209"/>
      <c r="D113" s="209"/>
      <c r="E113" s="209"/>
      <c r="F113" s="209"/>
      <c r="G113" s="203"/>
      <c r="H113" s="203"/>
      <c r="I113" s="224"/>
      <c r="J113" s="231">
        <v>12</v>
      </c>
      <c r="K113" s="253">
        <f t="shared" si="34"/>
        <v>0.17419354838709675</v>
      </c>
      <c r="L113" s="253">
        <f t="shared" si="32"/>
        <v>0.14032258064516129</v>
      </c>
      <c r="M113" s="253">
        <f t="shared" si="32"/>
        <v>0.15483870967741936</v>
      </c>
      <c r="N113" s="253">
        <f t="shared" si="32"/>
        <v>0.16209677419354837</v>
      </c>
      <c r="O113" s="253">
        <f t="shared" si="32"/>
        <v>0.19354838709677419</v>
      </c>
      <c r="P113" s="253">
        <f t="shared" si="32"/>
        <v>0.25887096774193552</v>
      </c>
      <c r="Q113" s="253">
        <f t="shared" si="32"/>
        <v>0.30967741935483872</v>
      </c>
      <c r="R113" s="253">
        <f t="shared" si="32"/>
        <v>0.28306451612903227</v>
      </c>
      <c r="S113" s="253">
        <f t="shared" si="32"/>
        <v>0.25403225806451613</v>
      </c>
      <c r="T113" s="253">
        <f t="shared" si="32"/>
        <v>0.15</v>
      </c>
      <c r="U113" s="253">
        <f t="shared" si="32"/>
        <v>0.16451612903225804</v>
      </c>
      <c r="V113" s="253">
        <f t="shared" si="32"/>
        <v>0.17419354838709675</v>
      </c>
      <c r="W113" s="209"/>
      <c r="X113" s="209"/>
      <c r="Y113" s="224"/>
      <c r="Z113" s="230">
        <v>12</v>
      </c>
      <c r="AA113" s="253">
        <f t="shared" si="35"/>
        <v>0.34586930724284348</v>
      </c>
      <c r="AB113" s="253">
        <f t="shared" si="33"/>
        <v>0.51408091754919893</v>
      </c>
      <c r="AC113" s="253">
        <f t="shared" si="33"/>
        <v>0.90731312637277139</v>
      </c>
      <c r="AD113" s="253">
        <f t="shared" si="33"/>
        <v>1.1113645984797957</v>
      </c>
      <c r="AE113" s="253">
        <f t="shared" si="33"/>
        <v>1.2556017528125403</v>
      </c>
      <c r="AF113" s="253">
        <f t="shared" si="33"/>
        <v>1.2463949479411212</v>
      </c>
      <c r="AG113" s="253">
        <f t="shared" si="33"/>
        <v>1.3788745088796723</v>
      </c>
      <c r="AH113" s="253">
        <f t="shared" si="33"/>
        <v>1.2774187149572613</v>
      </c>
      <c r="AI113" s="253">
        <f t="shared" si="33"/>
        <v>0.98955213835057554</v>
      </c>
      <c r="AJ113" s="253">
        <f t="shared" si="33"/>
        <v>0.8674894439464288</v>
      </c>
      <c r="AK113" s="253">
        <f t="shared" si="33"/>
        <v>0.42530272650604289</v>
      </c>
      <c r="AL113" s="253">
        <f t="shared" si="33"/>
        <v>0.32906172664667521</v>
      </c>
      <c r="AM113" s="249"/>
    </row>
    <row r="114" spans="1:40">
      <c r="A114" s="209"/>
      <c r="B114" s="209"/>
      <c r="C114" s="209"/>
      <c r="D114" s="277"/>
      <c r="E114" s="277"/>
      <c r="F114" s="278"/>
      <c r="G114" s="203"/>
      <c r="H114" s="203"/>
      <c r="I114" s="224"/>
      <c r="J114" s="231">
        <v>13</v>
      </c>
      <c r="K114" s="253">
        <f t="shared" si="34"/>
        <v>0.17419354838709675</v>
      </c>
      <c r="L114" s="253">
        <f t="shared" si="32"/>
        <v>0.14032258064516129</v>
      </c>
      <c r="M114" s="253">
        <f t="shared" si="32"/>
        <v>0.15483870967741936</v>
      </c>
      <c r="N114" s="253">
        <f t="shared" si="32"/>
        <v>0.16209677419354837</v>
      </c>
      <c r="O114" s="253">
        <f t="shared" si="32"/>
        <v>0.19354838709677419</v>
      </c>
      <c r="P114" s="253">
        <f t="shared" si="32"/>
        <v>0.25887096774193552</v>
      </c>
      <c r="Q114" s="253">
        <f t="shared" si="32"/>
        <v>0.30967741935483872</v>
      </c>
      <c r="R114" s="253">
        <f t="shared" si="32"/>
        <v>0.28306451612903227</v>
      </c>
      <c r="S114" s="253">
        <f t="shared" si="32"/>
        <v>0.25403225806451613</v>
      </c>
      <c r="T114" s="253">
        <f t="shared" si="32"/>
        <v>0.15</v>
      </c>
      <c r="U114" s="253">
        <f t="shared" si="32"/>
        <v>0.16451612903225804</v>
      </c>
      <c r="V114" s="253">
        <f t="shared" si="32"/>
        <v>0.17419354838709675</v>
      </c>
      <c r="W114" s="209"/>
      <c r="X114" s="209"/>
      <c r="Y114" s="224"/>
      <c r="Z114" s="230">
        <v>13</v>
      </c>
      <c r="AA114" s="253">
        <f t="shared" si="35"/>
        <v>0.34014947033651721</v>
      </c>
      <c r="AB114" s="253">
        <f t="shared" si="33"/>
        <v>0.50738040590166888</v>
      </c>
      <c r="AC114" s="253">
        <f t="shared" si="33"/>
        <v>0.89678414665882511</v>
      </c>
      <c r="AD114" s="253">
        <f t="shared" si="33"/>
        <v>1.1001291376738482</v>
      </c>
      <c r="AE114" s="253">
        <f t="shared" si="33"/>
        <v>1.2441668743366596</v>
      </c>
      <c r="AF114" s="253">
        <f t="shared" si="33"/>
        <v>1.2345944010442262</v>
      </c>
      <c r="AG114" s="253">
        <f t="shared" si="33"/>
        <v>1.3646219689778611</v>
      </c>
      <c r="AH114" s="253">
        <f t="shared" si="33"/>
        <v>1.3604665493852015</v>
      </c>
      <c r="AI114" s="253">
        <f t="shared" si="33"/>
        <v>0.97722095465766501</v>
      </c>
      <c r="AJ114" s="253">
        <f t="shared" si="33"/>
        <v>0.85647982747548268</v>
      </c>
      <c r="AK114" s="253">
        <f t="shared" si="33"/>
        <v>0.41871535606709503</v>
      </c>
      <c r="AL114" s="253">
        <f t="shared" si="33"/>
        <v>0.32336990844525226</v>
      </c>
      <c r="AM114" s="249"/>
    </row>
    <row r="115" spans="1:40">
      <c r="A115" s="522" t="s">
        <v>261</v>
      </c>
      <c r="B115" s="522"/>
      <c r="C115" s="302">
        <f>'Simulazione 8.4'!C35</f>
        <v>3600</v>
      </c>
      <c r="D115" s="209"/>
      <c r="E115" s="209"/>
      <c r="F115" s="277"/>
      <c r="G115" s="203"/>
      <c r="H115" s="203"/>
      <c r="I115" s="224"/>
      <c r="J115" s="231">
        <v>14</v>
      </c>
      <c r="K115" s="253">
        <f t="shared" si="34"/>
        <v>0.17419354838709675</v>
      </c>
      <c r="L115" s="253">
        <f t="shared" si="32"/>
        <v>0.14032258064516129</v>
      </c>
      <c r="M115" s="253">
        <f t="shared" si="32"/>
        <v>0.15483870967741936</v>
      </c>
      <c r="N115" s="253">
        <f t="shared" si="32"/>
        <v>0.16209677419354837</v>
      </c>
      <c r="O115" s="253">
        <f t="shared" si="32"/>
        <v>0.19354838709677419</v>
      </c>
      <c r="P115" s="253">
        <f t="shared" si="32"/>
        <v>0.25887096774193552</v>
      </c>
      <c r="Q115" s="253">
        <f t="shared" si="32"/>
        <v>0.30967741935483872</v>
      </c>
      <c r="R115" s="253">
        <f t="shared" si="32"/>
        <v>0.28306451612903227</v>
      </c>
      <c r="S115" s="253">
        <f t="shared" si="32"/>
        <v>0.25403225806451613</v>
      </c>
      <c r="T115" s="253">
        <f t="shared" si="32"/>
        <v>0.15</v>
      </c>
      <c r="U115" s="253">
        <f t="shared" si="32"/>
        <v>0.16451612903225804</v>
      </c>
      <c r="V115" s="253">
        <f t="shared" si="32"/>
        <v>0.17419354838709675</v>
      </c>
      <c r="W115" s="209"/>
      <c r="X115" s="209"/>
      <c r="Y115" s="224"/>
      <c r="Z115" s="230">
        <v>14</v>
      </c>
      <c r="AA115" s="253">
        <f t="shared" si="35"/>
        <v>0.30582388498341762</v>
      </c>
      <c r="AB115" s="253">
        <f t="shared" si="33"/>
        <v>0.4671696467081084</v>
      </c>
      <c r="AC115" s="253">
        <f t="shared" si="33"/>
        <v>0.83359818563039445</v>
      </c>
      <c r="AD115" s="253">
        <f t="shared" si="33"/>
        <v>1.0327034793566694</v>
      </c>
      <c r="AE115" s="253">
        <f t="shared" si="33"/>
        <v>1.1755444811540807</v>
      </c>
      <c r="AF115" s="253">
        <f t="shared" si="33"/>
        <v>1.1637775777053312</v>
      </c>
      <c r="AG115" s="253">
        <f t="shared" si="33"/>
        <v>1.2790903737750381</v>
      </c>
      <c r="AH115" s="253">
        <f t="shared" si="33"/>
        <v>1.3564675105192681</v>
      </c>
      <c r="AI115" s="253">
        <f t="shared" si="33"/>
        <v>0.90321970159962939</v>
      </c>
      <c r="AJ115" s="253">
        <f t="shared" si="33"/>
        <v>0.79040949434057139</v>
      </c>
      <c r="AK115" s="253">
        <f t="shared" si="33"/>
        <v>0.37918357396252161</v>
      </c>
      <c r="AL115" s="253">
        <f t="shared" si="33"/>
        <v>0.28921246747500862</v>
      </c>
      <c r="AM115" s="249"/>
    </row>
    <row r="116" spans="1:40">
      <c r="A116" s="522" t="s">
        <v>246</v>
      </c>
      <c r="B116" s="522"/>
      <c r="C116" s="302">
        <f>'Simulazione 8.4'!C36</f>
        <v>2500</v>
      </c>
      <c r="D116" s="203"/>
      <c r="E116" s="203"/>
      <c r="F116" s="252"/>
      <c r="G116" s="203"/>
      <c r="H116" s="203"/>
      <c r="I116" s="224"/>
      <c r="J116" s="231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09"/>
      <c r="X116" s="209"/>
      <c r="Y116" s="224"/>
      <c r="Z116" s="230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49"/>
    </row>
    <row r="117" spans="1:40">
      <c r="A117" s="203"/>
      <c r="B117" s="203"/>
      <c r="C117" s="203"/>
      <c r="D117" s="203"/>
      <c r="E117" s="203"/>
      <c r="F117" s="203"/>
      <c r="G117" s="203"/>
      <c r="H117" s="203"/>
      <c r="I117" s="224"/>
      <c r="J117" s="231">
        <v>15</v>
      </c>
      <c r="K117" s="253">
        <f t="shared" ref="K117:V124" si="36">IF(AA85&gt;K85,K85,IF(AA85=0,0,AA85))</f>
        <v>0.17419354838709675</v>
      </c>
      <c r="L117" s="253">
        <f t="shared" si="36"/>
        <v>0.14032258064516129</v>
      </c>
      <c r="M117" s="253">
        <f t="shared" si="36"/>
        <v>0.15483870967741936</v>
      </c>
      <c r="N117" s="253">
        <f t="shared" si="36"/>
        <v>0.16209677419354837</v>
      </c>
      <c r="O117" s="253">
        <f t="shared" si="36"/>
        <v>0.19354838709677419</v>
      </c>
      <c r="P117" s="253">
        <f t="shared" si="36"/>
        <v>0.25887096774193552</v>
      </c>
      <c r="Q117" s="253">
        <f t="shared" si="36"/>
        <v>0.30967741935483872</v>
      </c>
      <c r="R117" s="253">
        <f t="shared" si="36"/>
        <v>0.28306451612903227</v>
      </c>
      <c r="S117" s="253">
        <f t="shared" si="36"/>
        <v>0.25403225806451613</v>
      </c>
      <c r="T117" s="253">
        <f t="shared" si="36"/>
        <v>0.15</v>
      </c>
      <c r="U117" s="253">
        <f t="shared" si="36"/>
        <v>0.16451612903225804</v>
      </c>
      <c r="V117" s="253">
        <f t="shared" si="36"/>
        <v>0.17419354838709675</v>
      </c>
      <c r="W117" s="209"/>
      <c r="X117" s="209"/>
      <c r="Y117" s="224"/>
      <c r="Z117" s="230">
        <v>15</v>
      </c>
      <c r="AA117" s="253">
        <f t="shared" ref="AA117:AL125" si="37">AA85-K117</f>
        <v>0.24223585044217386</v>
      </c>
      <c r="AB117" s="253">
        <f t="shared" si="37"/>
        <v>0.39618893675613681</v>
      </c>
      <c r="AC117" s="253">
        <f t="shared" si="37"/>
        <v>0.72206126211182897</v>
      </c>
      <c r="AD117" s="253">
        <f t="shared" si="37"/>
        <v>0.91368257071640602</v>
      </c>
      <c r="AE117" s="253">
        <f t="shared" si="37"/>
        <v>1.0544110759563297</v>
      </c>
      <c r="AF117" s="253">
        <f t="shared" si="37"/>
        <v>1.0387705274046479</v>
      </c>
      <c r="AG117" s="253">
        <f t="shared" si="37"/>
        <v>1.128108560136631</v>
      </c>
      <c r="AH117" s="253">
        <f t="shared" si="37"/>
        <v>1.2656941262494481</v>
      </c>
      <c r="AI117" s="253">
        <f t="shared" si="37"/>
        <v>0.77259144227952092</v>
      </c>
      <c r="AJ117" s="253">
        <f t="shared" si="37"/>
        <v>0.6737810285584509</v>
      </c>
      <c r="AK117" s="253">
        <f t="shared" si="37"/>
        <v>0.30790161477650352</v>
      </c>
      <c r="AL117" s="253">
        <f t="shared" si="37"/>
        <v>0.2231912328860812</v>
      </c>
      <c r="AM117" s="249"/>
    </row>
    <row r="118" spans="1:40" ht="25.5">
      <c r="A118" s="211" t="s">
        <v>92</v>
      </c>
      <c r="B118" s="211" t="s">
        <v>247</v>
      </c>
      <c r="C118" s="211" t="s">
        <v>28</v>
      </c>
      <c r="D118" s="211" t="s">
        <v>248</v>
      </c>
      <c r="E118" s="259" t="s">
        <v>249</v>
      </c>
      <c r="F118" s="211" t="s">
        <v>250</v>
      </c>
      <c r="G118" s="211" t="s">
        <v>263</v>
      </c>
      <c r="H118" s="211" t="s">
        <v>264</v>
      </c>
      <c r="I118" s="224"/>
      <c r="J118" s="231">
        <v>16</v>
      </c>
      <c r="K118" s="253">
        <f t="shared" si="36"/>
        <v>0.17419354838709675</v>
      </c>
      <c r="L118" s="253">
        <f t="shared" si="36"/>
        <v>0.14032258064516129</v>
      </c>
      <c r="M118" s="253">
        <f t="shared" si="36"/>
        <v>0.15483870967741936</v>
      </c>
      <c r="N118" s="253">
        <f t="shared" si="36"/>
        <v>0.16209677419354837</v>
      </c>
      <c r="O118" s="253">
        <f t="shared" si="36"/>
        <v>0.19354838709677419</v>
      </c>
      <c r="P118" s="253">
        <f t="shared" si="36"/>
        <v>0.25887096774193552</v>
      </c>
      <c r="Q118" s="253">
        <f t="shared" si="36"/>
        <v>0.30967741935483872</v>
      </c>
      <c r="R118" s="253">
        <f t="shared" si="36"/>
        <v>0.28306451612903227</v>
      </c>
      <c r="S118" s="253">
        <f t="shared" si="36"/>
        <v>0.25403225806451613</v>
      </c>
      <c r="T118" s="253">
        <f t="shared" si="36"/>
        <v>0.15</v>
      </c>
      <c r="U118" s="253">
        <f t="shared" si="36"/>
        <v>0.16451612903225804</v>
      </c>
      <c r="V118" s="253">
        <f t="shared" si="36"/>
        <v>0.17419354838709675</v>
      </c>
      <c r="W118" s="209"/>
      <c r="X118" s="209"/>
      <c r="Y118" s="224"/>
      <c r="Z118" s="230">
        <v>16</v>
      </c>
      <c r="AA118" s="253">
        <f t="shared" si="37"/>
        <v>8.4608628796098345E-2</v>
      </c>
      <c r="AB118" s="253">
        <f t="shared" si="37"/>
        <v>0.26873249923556253</v>
      </c>
      <c r="AC118" s="253">
        <f t="shared" si="37"/>
        <v>0.55982360418969246</v>
      </c>
      <c r="AD118" s="253">
        <f t="shared" si="37"/>
        <v>0.75105967609667601</v>
      </c>
      <c r="AE118" s="253">
        <f t="shared" si="37"/>
        <v>0.88902170012521609</v>
      </c>
      <c r="AF118" s="253">
        <f t="shared" si="37"/>
        <v>0.86809227403624856</v>
      </c>
      <c r="AG118" s="253">
        <f t="shared" si="37"/>
        <v>0.92196568915285348</v>
      </c>
      <c r="AH118" s="253">
        <f t="shared" si="37"/>
        <v>1.0943324527036222</v>
      </c>
      <c r="AI118" s="253">
        <f t="shared" si="37"/>
        <v>0.58962458307448107</v>
      </c>
      <c r="AJ118" s="253">
        <f t="shared" si="37"/>
        <v>0.48630380354282532</v>
      </c>
      <c r="AK118" s="253">
        <f t="shared" si="37"/>
        <v>0.15169797052516892</v>
      </c>
      <c r="AL118" s="253">
        <f t="shared" si="37"/>
        <v>2.3819057730012166E-2</v>
      </c>
      <c r="AM118" s="249"/>
    </row>
    <row r="119" spans="1:40">
      <c r="A119" s="207">
        <v>1</v>
      </c>
      <c r="B119" s="260">
        <f>'Simulazione 8.4'!C35</f>
        <v>3600</v>
      </c>
      <c r="C119" s="260">
        <f>W127+((W127/100)*Calcoli!$B$1)</f>
        <v>1242.8209769312484</v>
      </c>
      <c r="D119" s="260">
        <f t="shared" ref="D119:D143" si="38">B119-C119</f>
        <v>2357.1790230687516</v>
      </c>
      <c r="E119" s="260">
        <f t="shared" ref="E119:E125" si="39">F119-C119</f>
        <v>1257.1790230687516</v>
      </c>
      <c r="F119" s="260">
        <f>C116</f>
        <v>2500</v>
      </c>
      <c r="G119" s="260">
        <f>IF(E119&lt;D119,F119-C119,D119)</f>
        <v>1257.1790230687516</v>
      </c>
      <c r="H119" s="260">
        <f>IF(E119&lt;D119,D119-E119,0)</f>
        <v>1100</v>
      </c>
      <c r="I119" s="224"/>
      <c r="J119" s="231">
        <v>17</v>
      </c>
      <c r="K119" s="253">
        <f t="shared" si="36"/>
        <v>0</v>
      </c>
      <c r="L119" s="253">
        <f t="shared" si="36"/>
        <v>0.13096500628331464</v>
      </c>
      <c r="M119" s="253">
        <f t="shared" si="36"/>
        <v>0.20645161290322581</v>
      </c>
      <c r="N119" s="253">
        <f t="shared" si="36"/>
        <v>0.21612903225806451</v>
      </c>
      <c r="O119" s="253">
        <f t="shared" si="36"/>
        <v>0.25806451612903225</v>
      </c>
      <c r="P119" s="253">
        <f t="shared" si="36"/>
        <v>0.34516129032258069</v>
      </c>
      <c r="Q119" s="253">
        <f t="shared" si="36"/>
        <v>0.41290322580645161</v>
      </c>
      <c r="R119" s="253">
        <f t="shared" si="36"/>
        <v>0.3774193548387097</v>
      </c>
      <c r="S119" s="253">
        <f t="shared" si="36"/>
        <v>0.33870967741935482</v>
      </c>
      <c r="T119" s="253">
        <f t="shared" si="36"/>
        <v>0.2</v>
      </c>
      <c r="U119" s="253">
        <f t="shared" si="36"/>
        <v>2.5908638151344563E-2</v>
      </c>
      <c r="V119" s="253">
        <f t="shared" si="36"/>
        <v>0</v>
      </c>
      <c r="W119" s="209"/>
      <c r="X119" s="209"/>
      <c r="Y119" s="224"/>
      <c r="Z119" s="230">
        <v>17</v>
      </c>
      <c r="AA119" s="253">
        <f t="shared" si="37"/>
        <v>0</v>
      </c>
      <c r="AB119" s="253">
        <f t="shared" si="37"/>
        <v>0</v>
      </c>
      <c r="AC119" s="253">
        <f t="shared" si="37"/>
        <v>0.23876041657621885</v>
      </c>
      <c r="AD119" s="253">
        <f t="shared" si="37"/>
        <v>0.45887344540717317</v>
      </c>
      <c r="AE119" s="253">
        <f t="shared" si="37"/>
        <v>0.60758450669604425</v>
      </c>
      <c r="AF119" s="253">
        <f t="shared" si="37"/>
        <v>0.56692273218409828</v>
      </c>
      <c r="AG119" s="253">
        <f t="shared" si="37"/>
        <v>0.55700624634146845</v>
      </c>
      <c r="AH119" s="253">
        <f t="shared" si="37"/>
        <v>0.7081873167200079</v>
      </c>
      <c r="AI119" s="253">
        <f t="shared" si="37"/>
        <v>0.22127821082715166</v>
      </c>
      <c r="AJ119" s="253">
        <f t="shared" si="37"/>
        <v>7.4398716381784136E-2</v>
      </c>
      <c r="AK119" s="253">
        <f t="shared" si="37"/>
        <v>0</v>
      </c>
      <c r="AL119" s="253">
        <f t="shared" si="37"/>
        <v>0</v>
      </c>
      <c r="AM119" s="249"/>
    </row>
    <row r="120" spans="1:40">
      <c r="A120" s="207">
        <v>2</v>
      </c>
      <c r="B120" s="260">
        <f>B119/100*99.1</f>
        <v>3567.6</v>
      </c>
      <c r="C120" s="260">
        <f>(B120*$W$128)+((B120*$W$128)/100*Calcoli!$B$1)</f>
        <v>1231.635588138867</v>
      </c>
      <c r="D120" s="260">
        <f t="shared" si="38"/>
        <v>2335.9644118611332</v>
      </c>
      <c r="E120" s="260">
        <f t="shared" si="39"/>
        <v>1330.864411861133</v>
      </c>
      <c r="F120" s="260">
        <f>F119*(1+$Z$3)</f>
        <v>2562.5</v>
      </c>
      <c r="G120" s="260">
        <f t="shared" ref="G120:G143" si="40">IF(E120&lt;D120,F120-C120,D120)</f>
        <v>1330.864411861133</v>
      </c>
      <c r="H120" s="260">
        <f t="shared" ref="H120:H143" si="41">IF(E120&lt;D120,D120-E120,0)</f>
        <v>1005.1000000000001</v>
      </c>
      <c r="I120" s="224"/>
      <c r="J120" s="231">
        <v>18</v>
      </c>
      <c r="K120" s="253">
        <f t="shared" si="36"/>
        <v>0</v>
      </c>
      <c r="L120" s="253">
        <f t="shared" si="36"/>
        <v>0</v>
      </c>
      <c r="M120" s="253">
        <f t="shared" si="36"/>
        <v>6.5266351723508656E-2</v>
      </c>
      <c r="N120" s="253">
        <f t="shared" si="36"/>
        <v>0.32419354838709674</v>
      </c>
      <c r="O120" s="253">
        <f t="shared" si="36"/>
        <v>0.38709677419354838</v>
      </c>
      <c r="P120" s="253">
        <f t="shared" si="36"/>
        <v>0.51774193548387104</v>
      </c>
      <c r="Q120" s="253">
        <f t="shared" si="36"/>
        <v>0.61935483870967745</v>
      </c>
      <c r="R120" s="253">
        <f t="shared" si="36"/>
        <v>0.56612903225806455</v>
      </c>
      <c r="S120" s="253">
        <f t="shared" si="36"/>
        <v>0.15637813824862687</v>
      </c>
      <c r="T120" s="253">
        <f t="shared" si="36"/>
        <v>0</v>
      </c>
      <c r="U120" s="253">
        <f t="shared" si="36"/>
        <v>0</v>
      </c>
      <c r="V120" s="253">
        <f t="shared" si="36"/>
        <v>0</v>
      </c>
      <c r="W120" s="209"/>
      <c r="X120" s="209"/>
      <c r="Y120" s="224"/>
      <c r="Z120" s="230">
        <v>18</v>
      </c>
      <c r="AA120" s="253">
        <f t="shared" si="37"/>
        <v>0</v>
      </c>
      <c r="AB120" s="253">
        <f t="shared" si="37"/>
        <v>0</v>
      </c>
      <c r="AC120" s="253">
        <f t="shared" si="37"/>
        <v>0</v>
      </c>
      <c r="AD120" s="253">
        <f t="shared" si="37"/>
        <v>2.6629090605196803E-2</v>
      </c>
      <c r="AE120" s="253">
        <f t="shared" si="37"/>
        <v>0.1797080487262479</v>
      </c>
      <c r="AF120" s="253">
        <f t="shared" si="37"/>
        <v>0.10435131775560591</v>
      </c>
      <c r="AG120" s="253">
        <f t="shared" si="37"/>
        <v>5.0123874944234537E-3</v>
      </c>
      <c r="AH120" s="253">
        <f t="shared" si="37"/>
        <v>7.1366465080258235E-2</v>
      </c>
      <c r="AI120" s="253">
        <f t="shared" si="37"/>
        <v>0</v>
      </c>
      <c r="AJ120" s="253">
        <f t="shared" si="37"/>
        <v>0</v>
      </c>
      <c r="AK120" s="253">
        <f t="shared" si="37"/>
        <v>0</v>
      </c>
      <c r="AL120" s="253">
        <f t="shared" si="37"/>
        <v>0</v>
      </c>
      <c r="AM120" s="249"/>
    </row>
    <row r="121" spans="1:40">
      <c r="A121" s="207">
        <v>3</v>
      </c>
      <c r="B121" s="260">
        <f>B120/100*99.1</f>
        <v>3535.4915999999998</v>
      </c>
      <c r="C121" s="260">
        <f>(B121*$W$128)+((B121*$W$128)/100*Calcoli!$B$1)</f>
        <v>1220.5508678456172</v>
      </c>
      <c r="D121" s="260">
        <f t="shared" si="38"/>
        <v>2314.9407321543827</v>
      </c>
      <c r="E121" s="260">
        <f t="shared" si="39"/>
        <v>1406.0116321543824</v>
      </c>
      <c r="F121" s="260">
        <f t="shared" ref="F121:F143" si="42">F120*(1+$Z$3)</f>
        <v>2626.5624999999995</v>
      </c>
      <c r="G121" s="260">
        <f t="shared" si="40"/>
        <v>1406.0116321543824</v>
      </c>
      <c r="H121" s="260">
        <f t="shared" si="41"/>
        <v>908.92910000000029</v>
      </c>
      <c r="I121" s="224"/>
      <c r="J121" s="231">
        <v>19</v>
      </c>
      <c r="K121" s="253">
        <f t="shared" si="36"/>
        <v>0</v>
      </c>
      <c r="L121" s="253">
        <f t="shared" si="36"/>
        <v>0</v>
      </c>
      <c r="M121" s="253">
        <f t="shared" si="36"/>
        <v>0</v>
      </c>
      <c r="N121" s="253">
        <f t="shared" si="36"/>
        <v>1.399968962824776E-2</v>
      </c>
      <c r="O121" s="253">
        <f t="shared" si="36"/>
        <v>0.2026668592537384</v>
      </c>
      <c r="P121" s="253">
        <f t="shared" si="36"/>
        <v>0.30229092416026287</v>
      </c>
      <c r="Q121" s="253">
        <f t="shared" si="36"/>
        <v>0.25548966196995898</v>
      </c>
      <c r="R121" s="253">
        <f t="shared" si="36"/>
        <v>7.6755196233925668E-2</v>
      </c>
      <c r="S121" s="253">
        <f t="shared" si="36"/>
        <v>0</v>
      </c>
      <c r="T121" s="253">
        <f t="shared" si="36"/>
        <v>0</v>
      </c>
      <c r="U121" s="253">
        <f t="shared" si="36"/>
        <v>0</v>
      </c>
      <c r="V121" s="253">
        <f t="shared" si="36"/>
        <v>0</v>
      </c>
      <c r="W121" s="209"/>
      <c r="X121" s="209"/>
      <c r="Y121" s="224"/>
      <c r="Z121" s="230">
        <v>19</v>
      </c>
      <c r="AA121" s="253">
        <f t="shared" si="37"/>
        <v>0</v>
      </c>
      <c r="AB121" s="253">
        <f t="shared" si="37"/>
        <v>0</v>
      </c>
      <c r="AC121" s="253">
        <f t="shared" si="37"/>
        <v>0</v>
      </c>
      <c r="AD121" s="253">
        <f t="shared" si="37"/>
        <v>0</v>
      </c>
      <c r="AE121" s="253">
        <f t="shared" si="37"/>
        <v>0</v>
      </c>
      <c r="AF121" s="253">
        <f t="shared" si="37"/>
        <v>0</v>
      </c>
      <c r="AG121" s="253">
        <f t="shared" si="37"/>
        <v>0</v>
      </c>
      <c r="AH121" s="253">
        <f t="shared" si="37"/>
        <v>0</v>
      </c>
      <c r="AI121" s="253">
        <f t="shared" si="37"/>
        <v>0</v>
      </c>
      <c r="AJ121" s="253">
        <f t="shared" si="37"/>
        <v>0</v>
      </c>
      <c r="AK121" s="253">
        <f t="shared" si="37"/>
        <v>0</v>
      </c>
      <c r="AL121" s="253">
        <f t="shared" si="37"/>
        <v>0</v>
      </c>
      <c r="AM121" s="249"/>
    </row>
    <row r="122" spans="1:40">
      <c r="A122" s="207">
        <v>4</v>
      </c>
      <c r="B122" s="260">
        <f t="shared" ref="B122:B143" si="43">B121/100*99.1</f>
        <v>3503.6721755999993</v>
      </c>
      <c r="C122" s="260">
        <f>(B122*$W$128)+((B122*$W$128)/100*Calcoli!$B$1)</f>
        <v>1209.5659100350063</v>
      </c>
      <c r="D122" s="260">
        <f t="shared" si="38"/>
        <v>2294.106265564993</v>
      </c>
      <c r="E122" s="260">
        <f t="shared" si="39"/>
        <v>1482.6606524649928</v>
      </c>
      <c r="F122" s="260">
        <f t="shared" si="42"/>
        <v>2692.2265624999991</v>
      </c>
      <c r="G122" s="260">
        <f t="shared" si="40"/>
        <v>1482.6606524649928</v>
      </c>
      <c r="H122" s="260">
        <f t="shared" si="41"/>
        <v>811.44561310000017</v>
      </c>
      <c r="I122" s="224"/>
      <c r="J122" s="231">
        <v>20</v>
      </c>
      <c r="K122" s="253">
        <f t="shared" si="36"/>
        <v>0</v>
      </c>
      <c r="L122" s="253">
        <f t="shared" si="36"/>
        <v>0</v>
      </c>
      <c r="M122" s="253">
        <f t="shared" si="36"/>
        <v>0</v>
      </c>
      <c r="N122" s="253">
        <f t="shared" si="36"/>
        <v>0</v>
      </c>
      <c r="O122" s="253">
        <f t="shared" si="36"/>
        <v>0</v>
      </c>
      <c r="P122" s="253">
        <f t="shared" si="36"/>
        <v>0</v>
      </c>
      <c r="Q122" s="253">
        <f t="shared" si="36"/>
        <v>0</v>
      </c>
      <c r="R122" s="253">
        <f t="shared" si="36"/>
        <v>0</v>
      </c>
      <c r="S122" s="253">
        <f t="shared" si="36"/>
        <v>0</v>
      </c>
      <c r="T122" s="253">
        <f t="shared" si="36"/>
        <v>0</v>
      </c>
      <c r="U122" s="253">
        <f t="shared" si="36"/>
        <v>0</v>
      </c>
      <c r="V122" s="253">
        <f t="shared" si="36"/>
        <v>0</v>
      </c>
      <c r="W122" s="209"/>
      <c r="X122" s="209"/>
      <c r="Y122" s="224"/>
      <c r="Z122" s="230">
        <v>20</v>
      </c>
      <c r="AA122" s="253">
        <f t="shared" si="37"/>
        <v>0</v>
      </c>
      <c r="AB122" s="253">
        <f t="shared" si="37"/>
        <v>0</v>
      </c>
      <c r="AC122" s="253">
        <f t="shared" si="37"/>
        <v>0</v>
      </c>
      <c r="AD122" s="253">
        <f t="shared" si="37"/>
        <v>0</v>
      </c>
      <c r="AE122" s="253">
        <f t="shared" si="37"/>
        <v>0</v>
      </c>
      <c r="AF122" s="253">
        <f t="shared" si="37"/>
        <v>0</v>
      </c>
      <c r="AG122" s="253">
        <f t="shared" si="37"/>
        <v>0</v>
      </c>
      <c r="AH122" s="253">
        <f t="shared" si="37"/>
        <v>0</v>
      </c>
      <c r="AI122" s="253">
        <f t="shared" si="37"/>
        <v>0</v>
      </c>
      <c r="AJ122" s="253">
        <f t="shared" si="37"/>
        <v>0</v>
      </c>
      <c r="AK122" s="253">
        <f t="shared" si="37"/>
        <v>0</v>
      </c>
      <c r="AL122" s="253">
        <f t="shared" si="37"/>
        <v>0</v>
      </c>
      <c r="AM122" s="249"/>
    </row>
    <row r="123" spans="1:40">
      <c r="A123" s="207">
        <v>5</v>
      </c>
      <c r="B123" s="260">
        <f t="shared" si="43"/>
        <v>3472.1391260195987</v>
      </c>
      <c r="C123" s="260">
        <f>(B123*$W$128)+((B123*$W$128)/100*Calcoli!$B$1)</f>
        <v>1198.679816844691</v>
      </c>
      <c r="D123" s="260">
        <f t="shared" si="38"/>
        <v>2273.4593091749075</v>
      </c>
      <c r="E123" s="260">
        <f t="shared" si="39"/>
        <v>1560.8524097178076</v>
      </c>
      <c r="F123" s="260">
        <f t="shared" si="42"/>
        <v>2759.5322265624986</v>
      </c>
      <c r="G123" s="260">
        <f t="shared" si="40"/>
        <v>1560.8524097178076</v>
      </c>
      <c r="H123" s="260">
        <f t="shared" si="41"/>
        <v>712.60689945709987</v>
      </c>
      <c r="I123" s="224"/>
      <c r="J123" s="231">
        <v>21</v>
      </c>
      <c r="K123" s="253">
        <f t="shared" si="36"/>
        <v>0</v>
      </c>
      <c r="L123" s="253">
        <f t="shared" si="36"/>
        <v>0</v>
      </c>
      <c r="M123" s="253">
        <f t="shared" si="36"/>
        <v>0</v>
      </c>
      <c r="N123" s="253">
        <f t="shared" si="36"/>
        <v>0</v>
      </c>
      <c r="O123" s="253">
        <f t="shared" si="36"/>
        <v>0</v>
      </c>
      <c r="P123" s="253">
        <f t="shared" si="36"/>
        <v>0</v>
      </c>
      <c r="Q123" s="253">
        <f t="shared" si="36"/>
        <v>0</v>
      </c>
      <c r="R123" s="253">
        <f t="shared" si="36"/>
        <v>0</v>
      </c>
      <c r="S123" s="253">
        <f t="shared" si="36"/>
        <v>0</v>
      </c>
      <c r="T123" s="253">
        <f t="shared" si="36"/>
        <v>0</v>
      </c>
      <c r="U123" s="253">
        <f t="shared" si="36"/>
        <v>0</v>
      </c>
      <c r="V123" s="253">
        <f t="shared" si="36"/>
        <v>0</v>
      </c>
      <c r="W123" s="209"/>
      <c r="X123" s="209"/>
      <c r="Y123" s="224"/>
      <c r="Z123" s="230">
        <v>21</v>
      </c>
      <c r="AA123" s="253">
        <f t="shared" si="37"/>
        <v>0</v>
      </c>
      <c r="AB123" s="253">
        <f t="shared" si="37"/>
        <v>0</v>
      </c>
      <c r="AC123" s="253">
        <f t="shared" si="37"/>
        <v>0</v>
      </c>
      <c r="AD123" s="253">
        <f t="shared" si="37"/>
        <v>0</v>
      </c>
      <c r="AE123" s="253">
        <f t="shared" si="37"/>
        <v>0</v>
      </c>
      <c r="AF123" s="253">
        <f t="shared" si="37"/>
        <v>0</v>
      </c>
      <c r="AG123" s="253">
        <f t="shared" si="37"/>
        <v>0</v>
      </c>
      <c r="AH123" s="253">
        <f t="shared" si="37"/>
        <v>0</v>
      </c>
      <c r="AI123" s="253">
        <f t="shared" si="37"/>
        <v>0</v>
      </c>
      <c r="AJ123" s="253">
        <f t="shared" si="37"/>
        <v>0</v>
      </c>
      <c r="AK123" s="253">
        <f t="shared" si="37"/>
        <v>0</v>
      </c>
      <c r="AL123" s="253">
        <f t="shared" si="37"/>
        <v>0</v>
      </c>
      <c r="AM123" s="249"/>
    </row>
    <row r="124" spans="1:40">
      <c r="A124" s="207">
        <v>6</v>
      </c>
      <c r="B124" s="260">
        <f t="shared" si="43"/>
        <v>3440.8898738854218</v>
      </c>
      <c r="C124" s="260">
        <f>(B124*$W$128)+((B124*$W$128)/100*Calcoli!$B$1)</f>
        <v>1187.8916984930886</v>
      </c>
      <c r="D124" s="260">
        <f t="shared" si="38"/>
        <v>2252.998175392333</v>
      </c>
      <c r="E124" s="260">
        <f t="shared" si="39"/>
        <v>1640.6288337334724</v>
      </c>
      <c r="F124" s="260">
        <f t="shared" si="42"/>
        <v>2828.520532226561</v>
      </c>
      <c r="G124" s="260">
        <f t="shared" si="40"/>
        <v>1640.6288337334724</v>
      </c>
      <c r="H124" s="260">
        <f t="shared" si="41"/>
        <v>612.36934165886055</v>
      </c>
      <c r="I124" s="224"/>
      <c r="J124" s="231">
        <v>22</v>
      </c>
      <c r="K124" s="253">
        <f t="shared" si="36"/>
        <v>0</v>
      </c>
      <c r="L124" s="253">
        <f t="shared" si="36"/>
        <v>0</v>
      </c>
      <c r="M124" s="253">
        <f t="shared" si="36"/>
        <v>0</v>
      </c>
      <c r="N124" s="253">
        <f t="shared" si="36"/>
        <v>0</v>
      </c>
      <c r="O124" s="253">
        <f t="shared" si="36"/>
        <v>0</v>
      </c>
      <c r="P124" s="253">
        <f t="shared" si="36"/>
        <v>0</v>
      </c>
      <c r="Q124" s="253">
        <f t="shared" si="36"/>
        <v>0</v>
      </c>
      <c r="R124" s="253">
        <f t="shared" si="36"/>
        <v>0</v>
      </c>
      <c r="S124" s="253">
        <f t="shared" si="36"/>
        <v>0</v>
      </c>
      <c r="T124" s="253">
        <f t="shared" si="36"/>
        <v>0</v>
      </c>
      <c r="U124" s="253">
        <f t="shared" si="36"/>
        <v>0</v>
      </c>
      <c r="V124" s="253">
        <f t="shared" si="36"/>
        <v>0</v>
      </c>
      <c r="W124" s="209"/>
      <c r="X124" s="209"/>
      <c r="Y124" s="224"/>
      <c r="Z124" s="230">
        <v>22</v>
      </c>
      <c r="AA124" s="253">
        <f t="shared" si="37"/>
        <v>0</v>
      </c>
      <c r="AB124" s="253">
        <f t="shared" si="37"/>
        <v>0</v>
      </c>
      <c r="AC124" s="253">
        <f t="shared" si="37"/>
        <v>0</v>
      </c>
      <c r="AD124" s="253">
        <f t="shared" si="37"/>
        <v>0</v>
      </c>
      <c r="AE124" s="253">
        <f t="shared" si="37"/>
        <v>0</v>
      </c>
      <c r="AF124" s="253">
        <f t="shared" si="37"/>
        <v>0</v>
      </c>
      <c r="AG124" s="253">
        <f t="shared" si="37"/>
        <v>0</v>
      </c>
      <c r="AH124" s="253">
        <f t="shared" si="37"/>
        <v>0</v>
      </c>
      <c r="AI124" s="253">
        <f t="shared" si="37"/>
        <v>0</v>
      </c>
      <c r="AJ124" s="253">
        <f t="shared" si="37"/>
        <v>0</v>
      </c>
      <c r="AK124" s="253">
        <f t="shared" si="37"/>
        <v>0</v>
      </c>
      <c r="AL124" s="253">
        <f t="shared" si="37"/>
        <v>0</v>
      </c>
      <c r="AM124" s="249"/>
    </row>
    <row r="125" spans="1:40">
      <c r="A125" s="207">
        <v>7</v>
      </c>
      <c r="B125" s="260">
        <f t="shared" si="43"/>
        <v>3409.921865020453</v>
      </c>
      <c r="C125" s="260">
        <f>(B125*$W$128)+((B125*$W$128)/100*Calcoli!$B$1)</f>
        <v>1177.2006732066509</v>
      </c>
      <c r="D125" s="260">
        <f t="shared" si="38"/>
        <v>2232.7211918138019</v>
      </c>
      <c r="E125" s="260">
        <f t="shared" si="39"/>
        <v>1722.0328723255741</v>
      </c>
      <c r="F125" s="260">
        <f t="shared" si="42"/>
        <v>2899.233545532225</v>
      </c>
      <c r="G125" s="260">
        <f t="shared" si="40"/>
        <v>1722.0328723255741</v>
      </c>
      <c r="H125" s="260">
        <f t="shared" si="41"/>
        <v>510.68831948822776</v>
      </c>
      <c r="I125" s="224"/>
      <c r="J125" s="240">
        <v>23</v>
      </c>
      <c r="K125" s="253">
        <f>IF(AA93&gt;K93,K93,IF(AA93=0,0,IF(AA93&lt;K93,K93-AA93,0)))</f>
        <v>0</v>
      </c>
      <c r="L125" s="253">
        <f t="shared" ref="L125:V125" si="44">IF(AB93&gt;L93,L93,IF(AB93=0,0,IF(AB93&lt;L93,L93-AB93,0)))</f>
        <v>0</v>
      </c>
      <c r="M125" s="253">
        <f t="shared" si="44"/>
        <v>0</v>
      </c>
      <c r="N125" s="253">
        <f t="shared" si="44"/>
        <v>0</v>
      </c>
      <c r="O125" s="253">
        <f t="shared" si="44"/>
        <v>0</v>
      </c>
      <c r="P125" s="253">
        <f t="shared" si="44"/>
        <v>0</v>
      </c>
      <c r="Q125" s="253">
        <f t="shared" si="44"/>
        <v>0</v>
      </c>
      <c r="R125" s="253">
        <f t="shared" si="44"/>
        <v>0</v>
      </c>
      <c r="S125" s="253">
        <f t="shared" si="44"/>
        <v>0</v>
      </c>
      <c r="T125" s="253">
        <f t="shared" si="44"/>
        <v>0</v>
      </c>
      <c r="U125" s="253">
        <f t="shared" si="44"/>
        <v>0</v>
      </c>
      <c r="V125" s="253">
        <f t="shared" si="44"/>
        <v>0</v>
      </c>
      <c r="W125" s="209"/>
      <c r="X125" s="209"/>
      <c r="Y125" s="224"/>
      <c r="Z125" s="261">
        <v>23</v>
      </c>
      <c r="AA125" s="253">
        <f t="shared" si="37"/>
        <v>0</v>
      </c>
      <c r="AB125" s="253">
        <f t="shared" si="37"/>
        <v>0</v>
      </c>
      <c r="AC125" s="253">
        <f t="shared" si="37"/>
        <v>0</v>
      </c>
      <c r="AD125" s="253">
        <f t="shared" si="37"/>
        <v>0</v>
      </c>
      <c r="AE125" s="253">
        <f t="shared" si="37"/>
        <v>0</v>
      </c>
      <c r="AF125" s="253">
        <f t="shared" si="37"/>
        <v>0</v>
      </c>
      <c r="AG125" s="253">
        <f t="shared" si="37"/>
        <v>0</v>
      </c>
      <c r="AH125" s="253">
        <f t="shared" si="37"/>
        <v>0</v>
      </c>
      <c r="AI125" s="253">
        <f t="shared" si="37"/>
        <v>0</v>
      </c>
      <c r="AJ125" s="253">
        <f t="shared" si="37"/>
        <v>0</v>
      </c>
      <c r="AK125" s="253">
        <f t="shared" si="37"/>
        <v>0</v>
      </c>
      <c r="AL125" s="253">
        <f t="shared" si="37"/>
        <v>0</v>
      </c>
      <c r="AM125" s="249"/>
    </row>
    <row r="126" spans="1:40">
      <c r="A126" s="207">
        <v>8</v>
      </c>
      <c r="B126" s="260">
        <f t="shared" si="43"/>
        <v>3379.2325682352684</v>
      </c>
      <c r="C126" s="260">
        <f>(B126*$W$128)+((B126*$W$128)/100*Calcoli!$B$1)</f>
        <v>1166.6058671477908</v>
      </c>
      <c r="D126" s="260">
        <f t="shared" si="38"/>
        <v>2212.6267010874776</v>
      </c>
      <c r="E126" s="260">
        <f t="shared" ref="E126:E143" si="45">F126-C126</f>
        <v>1805.1085170227393</v>
      </c>
      <c r="F126" s="260">
        <f t="shared" si="42"/>
        <v>2971.7143841705301</v>
      </c>
      <c r="G126" s="260">
        <f t="shared" si="40"/>
        <v>1805.1085170227393</v>
      </c>
      <c r="H126" s="260">
        <f t="shared" si="41"/>
        <v>407.51818406473831</v>
      </c>
      <c r="I126" s="523" t="s">
        <v>240</v>
      </c>
      <c r="J126" s="524"/>
      <c r="K126" s="253">
        <f t="shared" ref="K126:V126" si="46">SUM(K101:K125)</f>
        <v>1.8610042637976356</v>
      </c>
      <c r="L126" s="253">
        <f t="shared" si="46"/>
        <v>1.964495365561735</v>
      </c>
      <c r="M126" s="253">
        <f t="shared" si="46"/>
        <v>2.4875918038377476</v>
      </c>
      <c r="N126" s="253">
        <f t="shared" si="46"/>
        <v>3.0525782033983231</v>
      </c>
      <c r="O126" s="253">
        <f t="shared" si="46"/>
        <v>3.9830133334103808</v>
      </c>
      <c r="P126" s="253">
        <f t="shared" si="46"/>
        <v>5.3742292356617165</v>
      </c>
      <c r="Q126" s="253">
        <f t="shared" si="46"/>
        <v>6.2307470541618697</v>
      </c>
      <c r="R126" s="253">
        <f t="shared" si="46"/>
        <v>4.9972548520871491</v>
      </c>
      <c r="S126" s="253">
        <f t="shared" si="46"/>
        <v>4.1617717484364238</v>
      </c>
      <c r="T126" s="253">
        <f t="shared" si="46"/>
        <v>2.2562049651745095</v>
      </c>
      <c r="U126" s="253">
        <f t="shared" si="46"/>
        <v>1.9301906355088796</v>
      </c>
      <c r="V126" s="253">
        <f t="shared" si="46"/>
        <v>1.791917794810362</v>
      </c>
      <c r="W126" s="211" t="s">
        <v>241</v>
      </c>
      <c r="X126" s="257"/>
      <c r="Y126" s="523" t="s">
        <v>240</v>
      </c>
      <c r="Z126" s="525"/>
      <c r="AA126" s="253">
        <f t="shared" ref="AA126:AL126" si="47">SUM(AA101:AA125)</f>
        <v>1.8551247684604286</v>
      </c>
      <c r="AB126" s="253">
        <f t="shared" si="47"/>
        <v>3.1451820537931026</v>
      </c>
      <c r="AC126" s="253">
        <f t="shared" si="47"/>
        <v>6.4543436800332206</v>
      </c>
      <c r="AD126" s="253">
        <f t="shared" si="47"/>
        <v>8.6764540546661895</v>
      </c>
      <c r="AE126" s="253">
        <f t="shared" si="47"/>
        <v>10.416986666589619</v>
      </c>
      <c r="AF126" s="253">
        <f t="shared" si="47"/>
        <v>9.838673990144736</v>
      </c>
      <c r="AG126" s="253">
        <f t="shared" si="47"/>
        <v>10.259575526483291</v>
      </c>
      <c r="AH126" s="253">
        <f t="shared" si="47"/>
        <v>9.0543580511386565</v>
      </c>
      <c r="AI126" s="253">
        <f t="shared" si="47"/>
        <v>6.5220992193055114</v>
      </c>
      <c r="AJ126" s="253">
        <f t="shared" si="47"/>
        <v>5.7566982606319401</v>
      </c>
      <c r="AK126" s="253">
        <f t="shared" si="47"/>
        <v>2.3665835580395087</v>
      </c>
      <c r="AL126" s="253">
        <f t="shared" si="47"/>
        <v>1.6919531729315733</v>
      </c>
      <c r="AM126" s="262" t="s">
        <v>241</v>
      </c>
    </row>
    <row r="127" spans="1:40">
      <c r="A127" s="207">
        <v>9</v>
      </c>
      <c r="B127" s="260">
        <f t="shared" si="43"/>
        <v>3348.8194751211508</v>
      </c>
      <c r="C127" s="260">
        <f>(B127*$W$128)+((B127*$W$128)/100*Calcoli!$B$1)</f>
        <v>1156.1064143434608</v>
      </c>
      <c r="D127" s="260">
        <f t="shared" si="38"/>
        <v>2192.7130607776899</v>
      </c>
      <c r="E127" s="260">
        <f t="shared" si="45"/>
        <v>1889.9008294313323</v>
      </c>
      <c r="F127" s="260">
        <f t="shared" si="42"/>
        <v>3046.0072437747931</v>
      </c>
      <c r="G127" s="260">
        <f t="shared" si="40"/>
        <v>1889.9008294313323</v>
      </c>
      <c r="H127" s="260">
        <f t="shared" si="41"/>
        <v>302.81223134635752</v>
      </c>
      <c r="I127" s="526" t="s">
        <v>242</v>
      </c>
      <c r="J127" s="527"/>
      <c r="K127" s="253">
        <f>K126*31</f>
        <v>57.691132177726701</v>
      </c>
      <c r="L127" s="253">
        <f t="shared" ref="L127:V127" si="48">L126*31</f>
        <v>60.899356332413788</v>
      </c>
      <c r="M127" s="253">
        <f t="shared" si="48"/>
        <v>77.115345918970178</v>
      </c>
      <c r="N127" s="253">
        <f t="shared" si="48"/>
        <v>94.629924305348013</v>
      </c>
      <c r="O127" s="253">
        <f t="shared" si="48"/>
        <v>123.4734133357218</v>
      </c>
      <c r="P127" s="253">
        <f t="shared" si="48"/>
        <v>166.60110630551321</v>
      </c>
      <c r="Q127" s="253">
        <f t="shared" si="48"/>
        <v>193.15315867901796</v>
      </c>
      <c r="R127" s="253">
        <f t="shared" si="48"/>
        <v>154.91490041470163</v>
      </c>
      <c r="S127" s="253">
        <f t="shared" si="48"/>
        <v>129.01492420152914</v>
      </c>
      <c r="T127" s="253">
        <f t="shared" si="48"/>
        <v>69.942353920409801</v>
      </c>
      <c r="U127" s="253">
        <f t="shared" si="48"/>
        <v>59.835909700775268</v>
      </c>
      <c r="V127" s="253">
        <f t="shared" si="48"/>
        <v>55.549451639121223</v>
      </c>
      <c r="W127" s="263">
        <f>SUM(K127:V127)</f>
        <v>1242.8209769312484</v>
      </c>
      <c r="X127" s="264"/>
      <c r="Y127" s="526" t="s">
        <v>242</v>
      </c>
      <c r="Z127" s="528"/>
      <c r="AA127" s="253">
        <f>AA126*31</f>
        <v>57.508867822273288</v>
      </c>
      <c r="AB127" s="253">
        <f t="shared" ref="AB127:AL127" si="49">AB126*31</f>
        <v>97.500643667586175</v>
      </c>
      <c r="AC127" s="253">
        <f t="shared" si="49"/>
        <v>200.08465408102984</v>
      </c>
      <c r="AD127" s="253">
        <f t="shared" si="49"/>
        <v>268.97007569465188</v>
      </c>
      <c r="AE127" s="253">
        <f t="shared" si="49"/>
        <v>322.9265866642782</v>
      </c>
      <c r="AF127" s="253">
        <f t="shared" si="49"/>
        <v>304.99889369448681</v>
      </c>
      <c r="AG127" s="253">
        <f t="shared" si="49"/>
        <v>318.04684132098203</v>
      </c>
      <c r="AH127" s="253">
        <f t="shared" si="49"/>
        <v>280.68509958529836</v>
      </c>
      <c r="AI127" s="253">
        <f t="shared" si="49"/>
        <v>202.18507579847085</v>
      </c>
      <c r="AJ127" s="253">
        <f t="shared" si="49"/>
        <v>178.45764607959015</v>
      </c>
      <c r="AK127" s="253">
        <f t="shared" si="49"/>
        <v>73.36409029922477</v>
      </c>
      <c r="AL127" s="253">
        <f t="shared" si="49"/>
        <v>52.45054836087877</v>
      </c>
      <c r="AM127" s="265">
        <f>SUM(AA127:AL127)</f>
        <v>2357.1790230687507</v>
      </c>
    </row>
    <row r="128" spans="1:40">
      <c r="A128" s="207">
        <v>10</v>
      </c>
      <c r="B128" s="260">
        <f t="shared" si="43"/>
        <v>3318.6800998450603</v>
      </c>
      <c r="C128" s="260">
        <f>(B128*$W$128)+((B128*$W$128)/100*Calcoli!$B$1)</f>
        <v>1145.7014566143696</v>
      </c>
      <c r="D128" s="260">
        <f t="shared" si="38"/>
        <v>2172.978643230691</v>
      </c>
      <c r="E128" s="260">
        <f t="shared" si="45"/>
        <v>1976.4559682547931</v>
      </c>
      <c r="F128" s="260">
        <f t="shared" si="42"/>
        <v>3122.1574248691627</v>
      </c>
      <c r="G128" s="260">
        <f t="shared" si="40"/>
        <v>1976.4559682547931</v>
      </c>
      <c r="H128" s="260">
        <f t="shared" si="41"/>
        <v>196.52267497589787</v>
      </c>
      <c r="I128" s="257"/>
      <c r="J128" s="257"/>
      <c r="K128" s="230" t="s">
        <v>223</v>
      </c>
      <c r="L128" s="230" t="s">
        <v>224</v>
      </c>
      <c r="M128" s="230" t="s">
        <v>225</v>
      </c>
      <c r="N128" s="230" t="s">
        <v>226</v>
      </c>
      <c r="O128" s="230" t="s">
        <v>227</v>
      </c>
      <c r="P128" s="230" t="s">
        <v>228</v>
      </c>
      <c r="Q128" s="230" t="s">
        <v>229</v>
      </c>
      <c r="R128" s="230" t="s">
        <v>230</v>
      </c>
      <c r="S128" s="230" t="s">
        <v>231</v>
      </c>
      <c r="T128" s="230" t="s">
        <v>232</v>
      </c>
      <c r="U128" s="230" t="s">
        <v>233</v>
      </c>
      <c r="V128" s="231" t="s">
        <v>234</v>
      </c>
      <c r="W128" s="529">
        <f>W127/AM95</f>
        <v>0.34522804914756894</v>
      </c>
      <c r="X128" s="529"/>
      <c r="Y128" s="257"/>
      <c r="Z128" s="257"/>
      <c r="AA128" s="226" t="s">
        <v>223</v>
      </c>
      <c r="AB128" s="226" t="s">
        <v>224</v>
      </c>
      <c r="AC128" s="226" t="s">
        <v>225</v>
      </c>
      <c r="AD128" s="226" t="s">
        <v>226</v>
      </c>
      <c r="AE128" s="226" t="s">
        <v>227</v>
      </c>
      <c r="AF128" s="226" t="s">
        <v>228</v>
      </c>
      <c r="AG128" s="226" t="s">
        <v>229</v>
      </c>
      <c r="AH128" s="226" t="s">
        <v>230</v>
      </c>
      <c r="AI128" s="226" t="s">
        <v>231</v>
      </c>
      <c r="AJ128" s="226" t="s">
        <v>232</v>
      </c>
      <c r="AK128" s="226" t="s">
        <v>233</v>
      </c>
      <c r="AL128" s="226" t="s">
        <v>234</v>
      </c>
      <c r="AM128" s="515">
        <f>AM127/AM95</f>
        <v>0.65477195085243067</v>
      </c>
      <c r="AN128" s="515"/>
    </row>
    <row r="129" spans="1:40">
      <c r="A129" s="207">
        <v>11</v>
      </c>
      <c r="B129" s="260">
        <f t="shared" si="43"/>
        <v>3288.8119789464545</v>
      </c>
      <c r="C129" s="260">
        <f>(B129*$W$128)+((B129*$W$128)/100*Calcoli!$B$1)</f>
        <v>1135.3901435048401</v>
      </c>
      <c r="D129" s="260">
        <f t="shared" si="38"/>
        <v>2153.4218354416143</v>
      </c>
      <c r="E129" s="260">
        <f t="shared" si="45"/>
        <v>2064.8212169860512</v>
      </c>
      <c r="F129" s="260">
        <f t="shared" si="42"/>
        <v>3200.2113604908914</v>
      </c>
      <c r="G129" s="260">
        <f t="shared" si="40"/>
        <v>2064.8212169860512</v>
      </c>
      <c r="H129" s="260">
        <f t="shared" si="41"/>
        <v>88.600618455563108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516" t="s">
        <v>251</v>
      </c>
      <c r="X129" s="516"/>
      <c r="Y129" s="203"/>
      <c r="Z129" s="266">
        <f>SUM(AA129:AL129)</f>
        <v>1.0000000000000002</v>
      </c>
      <c r="AA129" s="236">
        <f>AA127/$AM$127</f>
        <v>2.4397327169238071E-2</v>
      </c>
      <c r="AB129" s="236">
        <f t="shared" ref="AB129:AL129" si="50">AB127/$AM$127</f>
        <v>4.1363274793041638E-2</v>
      </c>
      <c r="AC129" s="236">
        <f t="shared" si="50"/>
        <v>8.4883096329503555E-2</v>
      </c>
      <c r="AD129" s="236">
        <f t="shared" si="50"/>
        <v>0.11410676620755206</v>
      </c>
      <c r="AE129" s="236">
        <f t="shared" si="50"/>
        <v>0.13699705601650417</v>
      </c>
      <c r="AF129" s="236">
        <f t="shared" si="50"/>
        <v>0.12939148478311868</v>
      </c>
      <c r="AG129" s="236">
        <f t="shared" si="50"/>
        <v>0.13492689278514156</v>
      </c>
      <c r="AH129" s="236">
        <f t="shared" si="50"/>
        <v>0.11907670008868552</v>
      </c>
      <c r="AI129" s="236">
        <f t="shared" si="50"/>
        <v>8.5774170658981727E-2</v>
      </c>
      <c r="AJ129" s="236">
        <f t="shared" si="50"/>
        <v>7.5708142798276187E-2</v>
      </c>
      <c r="AK129" s="236">
        <f t="shared" si="50"/>
        <v>3.1123681986493307E-2</v>
      </c>
      <c r="AL129" s="236">
        <f t="shared" si="50"/>
        <v>2.2251406383463717E-2</v>
      </c>
      <c r="AM129" s="517" t="s">
        <v>252</v>
      </c>
      <c r="AN129" s="517"/>
    </row>
    <row r="130" spans="1:40">
      <c r="A130" s="207">
        <v>12</v>
      </c>
      <c r="B130" s="260">
        <f t="shared" si="43"/>
        <v>3259.2126711359365</v>
      </c>
      <c r="C130" s="260">
        <f>(B130*$W$128)+((B130*$W$128)/100*Calcoli!$B$1)</f>
        <v>1125.1716322132966</v>
      </c>
      <c r="D130" s="260">
        <f t="shared" si="38"/>
        <v>2134.0410389226399</v>
      </c>
      <c r="E130" s="260">
        <f t="shared" si="45"/>
        <v>2155.0450122898669</v>
      </c>
      <c r="F130" s="260">
        <f t="shared" si="42"/>
        <v>3280.2166445031635</v>
      </c>
      <c r="G130" s="260">
        <f t="shared" si="40"/>
        <v>2134.0410389226399</v>
      </c>
      <c r="H130" s="260">
        <f t="shared" si="41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</row>
    <row r="131" spans="1:40">
      <c r="A131" s="207">
        <v>13</v>
      </c>
      <c r="B131" s="260">
        <f t="shared" si="43"/>
        <v>3229.8797570957126</v>
      </c>
      <c r="C131" s="260">
        <f>(B131*$W$128)+((B131*$W$128)/100*Calcoli!$B$1)</f>
        <v>1115.0450875233767</v>
      </c>
      <c r="D131" s="260">
        <f t="shared" si="38"/>
        <v>2114.8346695723358</v>
      </c>
      <c r="E131" s="260">
        <f t="shared" si="45"/>
        <v>2247.1769730923652</v>
      </c>
      <c r="F131" s="260">
        <f t="shared" si="42"/>
        <v>3362.2220606157421</v>
      </c>
      <c r="G131" s="260">
        <f t="shared" si="40"/>
        <v>2114.8346695723358</v>
      </c>
      <c r="H131" s="260">
        <f t="shared" si="41"/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</row>
    <row r="132" spans="1:40">
      <c r="A132" s="207">
        <v>14</v>
      </c>
      <c r="B132" s="260">
        <f t="shared" si="43"/>
        <v>3200.8108392818513</v>
      </c>
      <c r="C132" s="260">
        <f>(B132*$W$128)+((B132*$W$128)/100*Calcoli!$B$1)</f>
        <v>1105.0096817356664</v>
      </c>
      <c r="D132" s="260">
        <f t="shared" si="38"/>
        <v>2095.8011575461851</v>
      </c>
      <c r="E132" s="260">
        <f t="shared" si="45"/>
        <v>2341.2679303954692</v>
      </c>
      <c r="F132" s="260">
        <f t="shared" si="42"/>
        <v>3446.2776121311354</v>
      </c>
      <c r="G132" s="260">
        <f t="shared" si="40"/>
        <v>2095.8011575461851</v>
      </c>
      <c r="H132" s="260">
        <f t="shared" si="41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</row>
    <row r="133" spans="1:40">
      <c r="A133" s="207">
        <v>15</v>
      </c>
      <c r="B133" s="260">
        <f t="shared" si="43"/>
        <v>3172.0035417283143</v>
      </c>
      <c r="C133" s="260">
        <f>(B133*$W$128)+((B133*$W$128)/100*Calcoli!$B$1)</f>
        <v>1095.0645946000452</v>
      </c>
      <c r="D133" s="260">
        <f t="shared" si="38"/>
        <v>2076.9389471282693</v>
      </c>
      <c r="E133" s="260">
        <f t="shared" si="45"/>
        <v>2437.3699578343685</v>
      </c>
      <c r="F133" s="260">
        <f t="shared" si="42"/>
        <v>3532.4345524344135</v>
      </c>
      <c r="G133" s="260">
        <f t="shared" si="40"/>
        <v>2076.9389471282693</v>
      </c>
      <c r="H133" s="260">
        <f t="shared" si="41"/>
        <v>0</v>
      </c>
      <c r="I133" s="203"/>
      <c r="J133" s="516" t="s">
        <v>253</v>
      </c>
      <c r="K133" s="516"/>
      <c r="L133" s="516"/>
      <c r="M133" s="516"/>
      <c r="N133" s="516"/>
      <c r="O133" s="516"/>
      <c r="P133" s="516"/>
      <c r="Q133" s="516"/>
      <c r="R133" s="516"/>
      <c r="S133" s="516"/>
      <c r="T133" s="516"/>
      <c r="U133" s="516"/>
      <c r="V133" s="516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09"/>
      <c r="AK133" s="203"/>
      <c r="AL133" s="203"/>
    </row>
    <row r="134" spans="1:40" ht="24">
      <c r="A134" s="267">
        <v>16</v>
      </c>
      <c r="B134" s="260">
        <f t="shared" si="43"/>
        <v>3143.4555098527594</v>
      </c>
      <c r="C134" s="260">
        <f>(B134*$W$128)+((B134*$W$128)/100*Calcoli!$B$1)</f>
        <v>1085.2090132486449</v>
      </c>
      <c r="D134" s="260">
        <f t="shared" si="38"/>
        <v>2058.2464966041143</v>
      </c>
      <c r="E134" s="260">
        <f t="shared" si="45"/>
        <v>2535.5364029966286</v>
      </c>
      <c r="F134" s="253">
        <f t="shared" si="42"/>
        <v>3620.7454162452736</v>
      </c>
      <c r="G134" s="260">
        <f t="shared" si="40"/>
        <v>2058.2464966041143</v>
      </c>
      <c r="H134" s="260">
        <f t="shared" si="41"/>
        <v>0</v>
      </c>
      <c r="I134" s="203"/>
      <c r="J134" s="225" t="s">
        <v>222</v>
      </c>
      <c r="K134" s="226" t="s">
        <v>223</v>
      </c>
      <c r="L134" s="226" t="s">
        <v>224</v>
      </c>
      <c r="M134" s="226" t="s">
        <v>225</v>
      </c>
      <c r="N134" s="226" t="s">
        <v>226</v>
      </c>
      <c r="O134" s="226" t="s">
        <v>227</v>
      </c>
      <c r="P134" s="226" t="s">
        <v>228</v>
      </c>
      <c r="Q134" s="226" t="s">
        <v>229</v>
      </c>
      <c r="R134" s="226" t="s">
        <v>230</v>
      </c>
      <c r="S134" s="226" t="s">
        <v>231</v>
      </c>
      <c r="T134" s="226" t="s">
        <v>232</v>
      </c>
      <c r="U134" s="226" t="s">
        <v>233</v>
      </c>
      <c r="V134" s="226" t="s">
        <v>234</v>
      </c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09"/>
      <c r="AK134" s="203"/>
      <c r="AL134" s="203"/>
    </row>
    <row r="135" spans="1:40">
      <c r="A135" s="207">
        <v>17</v>
      </c>
      <c r="B135" s="260">
        <f t="shared" si="43"/>
        <v>3115.1644102640844</v>
      </c>
      <c r="C135" s="260">
        <f>(B135*$W$128)+((B135*$W$128)/100*Calcoli!$B$1)</f>
        <v>1075.4421321294069</v>
      </c>
      <c r="D135" s="260">
        <f t="shared" si="38"/>
        <v>2039.7222781346775</v>
      </c>
      <c r="E135" s="260">
        <f t="shared" si="45"/>
        <v>2635.8219195219981</v>
      </c>
      <c r="F135" s="260">
        <f t="shared" si="42"/>
        <v>3711.2640516514052</v>
      </c>
      <c r="G135" s="260">
        <f t="shared" si="40"/>
        <v>2039.7222781346775</v>
      </c>
      <c r="H135" s="260">
        <f t="shared" si="41"/>
        <v>0</v>
      </c>
      <c r="I135" s="203"/>
      <c r="J135" s="231">
        <v>0</v>
      </c>
      <c r="K135" s="253">
        <f t="shared" ref="K135:V149" si="51">K70-K101</f>
        <v>0.17419354838709675</v>
      </c>
      <c r="L135" s="253">
        <f t="shared" si="51"/>
        <v>0.14032258064516129</v>
      </c>
      <c r="M135" s="253">
        <f t="shared" si="51"/>
        <v>0.15483870967741936</v>
      </c>
      <c r="N135" s="253">
        <f t="shared" si="51"/>
        <v>0.16209677419354837</v>
      </c>
      <c r="O135" s="253">
        <f t="shared" si="51"/>
        <v>0.19354838709677419</v>
      </c>
      <c r="P135" s="253">
        <f t="shared" si="51"/>
        <v>0.25887096774193552</v>
      </c>
      <c r="Q135" s="253">
        <f t="shared" si="51"/>
        <v>0.30967741935483872</v>
      </c>
      <c r="R135" s="253">
        <f t="shared" si="51"/>
        <v>0.28306451612903227</v>
      </c>
      <c r="S135" s="253">
        <f t="shared" si="51"/>
        <v>0.25403225806451613</v>
      </c>
      <c r="T135" s="253">
        <f t="shared" si="51"/>
        <v>0.15</v>
      </c>
      <c r="U135" s="253">
        <f t="shared" si="51"/>
        <v>0.16451612903225804</v>
      </c>
      <c r="V135" s="253">
        <f t="shared" si="51"/>
        <v>0.17419354838709675</v>
      </c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09"/>
      <c r="AK135" s="203"/>
      <c r="AL135" s="203"/>
    </row>
    <row r="136" spans="1:40">
      <c r="A136" s="207">
        <v>18</v>
      </c>
      <c r="B136" s="260">
        <f t="shared" si="43"/>
        <v>3087.1279305717076</v>
      </c>
      <c r="C136" s="260">
        <f>(B136*$W$128)+((B136*$W$128)/100*Calcoli!$B$1)</f>
        <v>1065.7631529402422</v>
      </c>
      <c r="D136" s="260">
        <f t="shared" si="38"/>
        <v>2021.3647776314654</v>
      </c>
      <c r="E136" s="260">
        <f t="shared" si="45"/>
        <v>2738.2825000024477</v>
      </c>
      <c r="F136" s="260">
        <f t="shared" si="42"/>
        <v>3804.0456529426901</v>
      </c>
      <c r="G136" s="260">
        <f t="shared" si="40"/>
        <v>2021.3647776314654</v>
      </c>
      <c r="H136" s="260">
        <f t="shared" si="41"/>
        <v>0</v>
      </c>
      <c r="I136" s="203"/>
      <c r="J136" s="231">
        <v>1</v>
      </c>
      <c r="K136" s="253">
        <f t="shared" si="51"/>
        <v>0.11612903225806452</v>
      </c>
      <c r="L136" s="253">
        <f t="shared" si="51"/>
        <v>9.3548387096774197E-2</v>
      </c>
      <c r="M136" s="253">
        <f t="shared" si="51"/>
        <v>0.1032258064516129</v>
      </c>
      <c r="N136" s="253">
        <f t="shared" si="51"/>
        <v>0.10806451612903226</v>
      </c>
      <c r="O136" s="253">
        <f t="shared" si="51"/>
        <v>0.12903225806451613</v>
      </c>
      <c r="P136" s="253">
        <f t="shared" si="51"/>
        <v>0.17258064516129035</v>
      </c>
      <c r="Q136" s="253">
        <f t="shared" si="51"/>
        <v>0.20645161290322581</v>
      </c>
      <c r="R136" s="253">
        <f t="shared" si="51"/>
        <v>0.18870967741935485</v>
      </c>
      <c r="S136" s="253">
        <f t="shared" si="51"/>
        <v>0.16935483870967741</v>
      </c>
      <c r="T136" s="253">
        <f t="shared" si="51"/>
        <v>0.1</v>
      </c>
      <c r="U136" s="253">
        <f t="shared" si="51"/>
        <v>0.10967741935483871</v>
      </c>
      <c r="V136" s="253">
        <f t="shared" si="51"/>
        <v>0.11612903225806452</v>
      </c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09"/>
      <c r="AK136" s="203"/>
      <c r="AL136" s="203"/>
    </row>
    <row r="137" spans="1:40">
      <c r="A137" s="207">
        <v>19</v>
      </c>
      <c r="B137" s="260">
        <f t="shared" si="43"/>
        <v>3059.3437791965621</v>
      </c>
      <c r="C137" s="260">
        <f>(B137*$W$128)+((B137*$W$128)/100*Calcoli!$B$1)</f>
        <v>1056.1712845637801</v>
      </c>
      <c r="D137" s="260">
        <f t="shared" si="38"/>
        <v>2003.172494632782</v>
      </c>
      <c r="E137" s="260">
        <f t="shared" si="45"/>
        <v>2842.9755097024772</v>
      </c>
      <c r="F137" s="260">
        <f t="shared" si="42"/>
        <v>3899.1467942662571</v>
      </c>
      <c r="G137" s="260">
        <f t="shared" si="40"/>
        <v>2003.172494632782</v>
      </c>
      <c r="H137" s="260">
        <f t="shared" si="41"/>
        <v>0</v>
      </c>
      <c r="I137" s="203"/>
      <c r="J137" s="231">
        <v>2</v>
      </c>
      <c r="K137" s="253">
        <f t="shared" si="51"/>
        <v>0.11612903225806452</v>
      </c>
      <c r="L137" s="253">
        <f t="shared" si="51"/>
        <v>9.3548387096774197E-2</v>
      </c>
      <c r="M137" s="253">
        <f t="shared" si="51"/>
        <v>0.1032258064516129</v>
      </c>
      <c r="N137" s="253">
        <f t="shared" si="51"/>
        <v>0.10806451612903226</v>
      </c>
      <c r="O137" s="253">
        <f t="shared" si="51"/>
        <v>0.12903225806451613</v>
      </c>
      <c r="P137" s="253">
        <f t="shared" si="51"/>
        <v>0.17258064516129035</v>
      </c>
      <c r="Q137" s="253">
        <f t="shared" si="51"/>
        <v>0.20645161290322581</v>
      </c>
      <c r="R137" s="253">
        <f t="shared" si="51"/>
        <v>0.18870967741935485</v>
      </c>
      <c r="S137" s="253">
        <f t="shared" si="51"/>
        <v>0.16935483870967741</v>
      </c>
      <c r="T137" s="253">
        <f t="shared" si="51"/>
        <v>0.1</v>
      </c>
      <c r="U137" s="253">
        <f t="shared" si="51"/>
        <v>0.10967741935483871</v>
      </c>
      <c r="V137" s="253">
        <f t="shared" si="51"/>
        <v>0.11612903225806452</v>
      </c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09"/>
      <c r="AK137" s="203"/>
      <c r="AL137" s="203"/>
    </row>
    <row r="138" spans="1:40">
      <c r="A138" s="207">
        <v>20</v>
      </c>
      <c r="B138" s="260">
        <f t="shared" si="43"/>
        <v>3031.8096851837927</v>
      </c>
      <c r="C138" s="260">
        <f>(B138*$W$128)+((B138*$W$128)/100*Calcoli!$B$1)</f>
        <v>1046.665743002706</v>
      </c>
      <c r="D138" s="260">
        <f t="shared" si="38"/>
        <v>1985.1439421810867</v>
      </c>
      <c r="E138" s="260">
        <f t="shared" si="45"/>
        <v>2949.9597211202072</v>
      </c>
      <c r="F138" s="260">
        <f t="shared" si="42"/>
        <v>3996.6254641229129</v>
      </c>
      <c r="G138" s="260">
        <f t="shared" si="40"/>
        <v>1985.1439421810867</v>
      </c>
      <c r="H138" s="260">
        <f t="shared" si="41"/>
        <v>0</v>
      </c>
      <c r="I138" s="203"/>
      <c r="J138" s="231">
        <v>3</v>
      </c>
      <c r="K138" s="253">
        <f t="shared" si="51"/>
        <v>0.11612903225806452</v>
      </c>
      <c r="L138" s="253">
        <f t="shared" si="51"/>
        <v>9.3548387096774197E-2</v>
      </c>
      <c r="M138" s="253">
        <f t="shared" si="51"/>
        <v>0.1032258064516129</v>
      </c>
      <c r="N138" s="253">
        <f t="shared" si="51"/>
        <v>0.10806451612903226</v>
      </c>
      <c r="O138" s="253">
        <f t="shared" si="51"/>
        <v>0.12903225806451613</v>
      </c>
      <c r="P138" s="253">
        <f t="shared" si="51"/>
        <v>0.17258064516129035</v>
      </c>
      <c r="Q138" s="253">
        <f t="shared" si="51"/>
        <v>0.20645161290322581</v>
      </c>
      <c r="R138" s="253">
        <f t="shared" si="51"/>
        <v>0.18870967741935485</v>
      </c>
      <c r="S138" s="253">
        <f t="shared" si="51"/>
        <v>0.16935483870967741</v>
      </c>
      <c r="T138" s="253">
        <f t="shared" si="51"/>
        <v>0.1</v>
      </c>
      <c r="U138" s="253">
        <f t="shared" si="51"/>
        <v>0.10967741935483871</v>
      </c>
      <c r="V138" s="253">
        <f t="shared" si="51"/>
        <v>0.11612903225806452</v>
      </c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09"/>
      <c r="AK138" s="203"/>
      <c r="AL138" s="203"/>
    </row>
    <row r="139" spans="1:40">
      <c r="A139" s="207">
        <v>21</v>
      </c>
      <c r="B139" s="260">
        <f t="shared" si="43"/>
        <v>3004.5233980171383</v>
      </c>
      <c r="C139" s="260">
        <f>(B139*$W$128)+((B139*$W$128)/100*Calcoli!$B$1)</f>
        <v>1037.2457513156814</v>
      </c>
      <c r="D139" s="260">
        <f t="shared" si="38"/>
        <v>1967.2776467014569</v>
      </c>
      <c r="E139" s="260">
        <f t="shared" si="45"/>
        <v>3059.295349410304</v>
      </c>
      <c r="F139" s="260">
        <f t="shared" si="42"/>
        <v>4096.5411007259854</v>
      </c>
      <c r="G139" s="260">
        <f t="shared" si="40"/>
        <v>1967.2776467014569</v>
      </c>
      <c r="H139" s="260">
        <f t="shared" si="41"/>
        <v>0</v>
      </c>
      <c r="I139" s="203"/>
      <c r="J139" s="231">
        <v>4</v>
      </c>
      <c r="K139" s="253">
        <f t="shared" si="51"/>
        <v>0.11612903225806452</v>
      </c>
      <c r="L139" s="253">
        <f t="shared" si="51"/>
        <v>9.3548387096774197E-2</v>
      </c>
      <c r="M139" s="253">
        <f t="shared" si="51"/>
        <v>0.1032258064516129</v>
      </c>
      <c r="N139" s="253">
        <f t="shared" si="51"/>
        <v>0.10806451612903226</v>
      </c>
      <c r="O139" s="253">
        <f t="shared" si="51"/>
        <v>0.12903225806451613</v>
      </c>
      <c r="P139" s="253">
        <f t="shared" si="51"/>
        <v>0.17258064516129035</v>
      </c>
      <c r="Q139" s="253">
        <f t="shared" si="51"/>
        <v>0.20645161290322581</v>
      </c>
      <c r="R139" s="253">
        <f t="shared" si="51"/>
        <v>0.18870967741935485</v>
      </c>
      <c r="S139" s="253">
        <f t="shared" si="51"/>
        <v>0.16935483870967741</v>
      </c>
      <c r="T139" s="253">
        <f t="shared" si="51"/>
        <v>0.1</v>
      </c>
      <c r="U139" s="253">
        <f t="shared" si="51"/>
        <v>0.10967741935483871</v>
      </c>
      <c r="V139" s="253">
        <f t="shared" si="51"/>
        <v>0.11612903225806452</v>
      </c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09"/>
      <c r="AK139" s="203"/>
      <c r="AL139" s="203"/>
    </row>
    <row r="140" spans="1:40">
      <c r="A140" s="207">
        <v>22</v>
      </c>
      <c r="B140" s="260">
        <f t="shared" si="43"/>
        <v>2977.4826874349837</v>
      </c>
      <c r="C140" s="260">
        <f>(B140*$W$128)+((B140*$W$128)/100*Calcoli!$B$1)</f>
        <v>1027.9105395538402</v>
      </c>
      <c r="D140" s="260">
        <f t="shared" si="38"/>
        <v>1949.5721478811436</v>
      </c>
      <c r="E140" s="260">
        <f t="shared" si="45"/>
        <v>3171.0440886902943</v>
      </c>
      <c r="F140" s="260">
        <f t="shared" si="42"/>
        <v>4198.9546282441343</v>
      </c>
      <c r="G140" s="260">
        <f t="shared" si="40"/>
        <v>1949.5721478811436</v>
      </c>
      <c r="H140" s="260">
        <f t="shared" si="41"/>
        <v>0</v>
      </c>
      <c r="I140" s="203"/>
      <c r="J140" s="231">
        <v>5</v>
      </c>
      <c r="K140" s="253">
        <f t="shared" si="51"/>
        <v>0.17419354838709675</v>
      </c>
      <c r="L140" s="253">
        <f t="shared" si="51"/>
        <v>0.14032258064516129</v>
      </c>
      <c r="M140" s="253">
        <f t="shared" si="51"/>
        <v>0.15483870967741936</v>
      </c>
      <c r="N140" s="253">
        <f t="shared" si="51"/>
        <v>0.14932471203637629</v>
      </c>
      <c r="O140" s="253">
        <f t="shared" si="51"/>
        <v>2.6105138746582907E-2</v>
      </c>
      <c r="P140" s="253">
        <f t="shared" si="51"/>
        <v>1.9190720756611407E-2</v>
      </c>
      <c r="Q140" s="253">
        <f t="shared" si="51"/>
        <v>0.11506518845325006</v>
      </c>
      <c r="R140" s="253">
        <f t="shared" si="51"/>
        <v>0.2509633505241603</v>
      </c>
      <c r="S140" s="253">
        <f t="shared" si="51"/>
        <v>0.25403225806451613</v>
      </c>
      <c r="T140" s="253">
        <f t="shared" si="51"/>
        <v>0.15</v>
      </c>
      <c r="U140" s="253">
        <f t="shared" si="51"/>
        <v>0.16451612903225804</v>
      </c>
      <c r="V140" s="253">
        <f t="shared" si="51"/>
        <v>0.17419354838709675</v>
      </c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09"/>
      <c r="AK140" s="203"/>
      <c r="AL140" s="203"/>
    </row>
    <row r="141" spans="1:40">
      <c r="A141" s="207">
        <v>23</v>
      </c>
      <c r="B141" s="260">
        <f t="shared" si="43"/>
        <v>2950.6853432480689</v>
      </c>
      <c r="C141" s="260">
        <f>(B141*$W$128)+((B141*$W$128)/100*Calcoli!$B$1)</f>
        <v>1018.6593446978557</v>
      </c>
      <c r="D141" s="260">
        <f t="shared" si="38"/>
        <v>1932.0259985502132</v>
      </c>
      <c r="E141" s="260">
        <f t="shared" si="45"/>
        <v>3285.2691492523818</v>
      </c>
      <c r="F141" s="260">
        <f t="shared" si="42"/>
        <v>4303.9284939502377</v>
      </c>
      <c r="G141" s="260">
        <f t="shared" si="40"/>
        <v>1932.0259985502132</v>
      </c>
      <c r="H141" s="260">
        <f t="shared" si="41"/>
        <v>0</v>
      </c>
      <c r="I141" s="203"/>
      <c r="J141" s="231">
        <v>6</v>
      </c>
      <c r="K141" s="253">
        <f t="shared" si="51"/>
        <v>0.23225806451612904</v>
      </c>
      <c r="L141" s="253">
        <f t="shared" si="51"/>
        <v>0.18709677419354839</v>
      </c>
      <c r="M141" s="253">
        <f t="shared" si="51"/>
        <v>0.15831970917608368</v>
      </c>
      <c r="N141" s="253">
        <f t="shared" si="51"/>
        <v>0</v>
      </c>
      <c r="O141" s="253">
        <f t="shared" si="51"/>
        <v>0</v>
      </c>
      <c r="P141" s="253">
        <f t="shared" si="51"/>
        <v>0</v>
      </c>
      <c r="Q141" s="253">
        <f t="shared" si="51"/>
        <v>0</v>
      </c>
      <c r="R141" s="253">
        <f t="shared" si="51"/>
        <v>0.17904869702091405</v>
      </c>
      <c r="S141" s="253">
        <f t="shared" si="51"/>
        <v>0.22847735755413798</v>
      </c>
      <c r="T141" s="253">
        <f t="shared" si="51"/>
        <v>0.2</v>
      </c>
      <c r="U141" s="253">
        <f t="shared" si="51"/>
        <v>0.21935483870967742</v>
      </c>
      <c r="V141" s="253">
        <f t="shared" si="51"/>
        <v>0.23225806451612904</v>
      </c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09"/>
      <c r="AK141" s="203"/>
      <c r="AL141" s="203"/>
    </row>
    <row r="142" spans="1:40">
      <c r="A142" s="207">
        <v>24</v>
      </c>
      <c r="B142" s="260">
        <f t="shared" si="43"/>
        <v>2924.129175158836</v>
      </c>
      <c r="C142" s="260">
        <f>(B142*$W$128)+((B142*$W$128)/100*Calcoli!$B$1)</f>
        <v>1009.4914105955748</v>
      </c>
      <c r="D142" s="260">
        <f t="shared" si="38"/>
        <v>1914.637764563261</v>
      </c>
      <c r="E142" s="260">
        <f t="shared" si="45"/>
        <v>3402.0352957034183</v>
      </c>
      <c r="F142" s="260">
        <f t="shared" si="42"/>
        <v>4411.5267062989933</v>
      </c>
      <c r="G142" s="260">
        <f t="shared" si="40"/>
        <v>1914.637764563261</v>
      </c>
      <c r="H142" s="260">
        <f t="shared" si="41"/>
        <v>0</v>
      </c>
      <c r="I142" s="203"/>
      <c r="J142" s="231">
        <v>7</v>
      </c>
      <c r="K142" s="253">
        <f t="shared" si="51"/>
        <v>0.29032258064516131</v>
      </c>
      <c r="L142" s="253">
        <f t="shared" si="51"/>
        <v>0.13098576975383774</v>
      </c>
      <c r="M142" s="253">
        <f t="shared" si="51"/>
        <v>0</v>
      </c>
      <c r="N142" s="253">
        <f t="shared" si="51"/>
        <v>0</v>
      </c>
      <c r="O142" s="253">
        <f t="shared" si="51"/>
        <v>0</v>
      </c>
      <c r="P142" s="253">
        <f t="shared" si="51"/>
        <v>0</v>
      </c>
      <c r="Q142" s="253">
        <f t="shared" si="51"/>
        <v>0</v>
      </c>
      <c r="R142" s="253">
        <f t="shared" si="51"/>
        <v>0.19959756158901903</v>
      </c>
      <c r="S142" s="253">
        <f t="shared" si="51"/>
        <v>0</v>
      </c>
      <c r="T142" s="253">
        <f t="shared" si="51"/>
        <v>4.3795034825489992E-2</v>
      </c>
      <c r="U142" s="253">
        <f t="shared" si="51"/>
        <v>0.25434873883184489</v>
      </c>
      <c r="V142" s="253">
        <f t="shared" si="51"/>
        <v>0.29032258064516131</v>
      </c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09"/>
      <c r="AK142" s="203"/>
      <c r="AL142" s="203"/>
    </row>
    <row r="143" spans="1:40">
      <c r="A143" s="207">
        <v>25</v>
      </c>
      <c r="B143" s="260">
        <f t="shared" si="43"/>
        <v>2897.8120125824062</v>
      </c>
      <c r="C143" s="260">
        <f>(B143*$W$128)+((B143*$W$128)/100*Calcoli!$B$1)</f>
        <v>1000.4059879002145</v>
      </c>
      <c r="D143" s="260">
        <f t="shared" si="38"/>
        <v>1897.4060246821916</v>
      </c>
      <c r="E143" s="260">
        <f t="shared" si="45"/>
        <v>3521.4088860562533</v>
      </c>
      <c r="F143" s="260">
        <f t="shared" si="42"/>
        <v>4521.8148739564676</v>
      </c>
      <c r="G143" s="260">
        <f t="shared" si="40"/>
        <v>1897.4060246821916</v>
      </c>
      <c r="H143" s="260">
        <f t="shared" si="41"/>
        <v>0</v>
      </c>
      <c r="I143" s="203"/>
      <c r="J143" s="231">
        <v>8</v>
      </c>
      <c r="K143" s="253">
        <f t="shared" si="51"/>
        <v>0.13366934901630537</v>
      </c>
      <c r="L143" s="253">
        <f t="shared" si="51"/>
        <v>0</v>
      </c>
      <c r="M143" s="253">
        <f t="shared" si="51"/>
        <v>0</v>
      </c>
      <c r="N143" s="253">
        <f t="shared" si="51"/>
        <v>0</v>
      </c>
      <c r="O143" s="253">
        <f t="shared" si="51"/>
        <v>0</v>
      </c>
      <c r="P143" s="253">
        <f t="shared" si="51"/>
        <v>0</v>
      </c>
      <c r="Q143" s="253">
        <f t="shared" si="51"/>
        <v>0</v>
      </c>
      <c r="R143" s="253">
        <f t="shared" si="51"/>
        <v>1.6826218883652211E-2</v>
      </c>
      <c r="S143" s="253">
        <f t="shared" si="51"/>
        <v>0</v>
      </c>
      <c r="T143" s="253">
        <f t="shared" si="51"/>
        <v>0</v>
      </c>
      <c r="U143" s="253">
        <f t="shared" si="51"/>
        <v>6.8433969483146784E-2</v>
      </c>
      <c r="V143" s="253">
        <f t="shared" si="51"/>
        <v>0.18433288676939982</v>
      </c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09"/>
      <c r="AK143" s="203"/>
      <c r="AL143" s="203"/>
    </row>
    <row r="144" spans="1:40">
      <c r="A144" s="250" t="s">
        <v>254</v>
      </c>
      <c r="B144" s="268">
        <f>SUM(B119:B143)</f>
        <v>80918.699503425567</v>
      </c>
      <c r="C144" s="268">
        <f t="shared" ref="C144:H144" si="52">SUM(C119:C143)</f>
        <v>27935.404769125962</v>
      </c>
      <c r="D144" s="268">
        <f t="shared" si="52"/>
        <v>52983.294734299605</v>
      </c>
      <c r="E144" s="268">
        <f t="shared" si="52"/>
        <v>57459.005063089513</v>
      </c>
      <c r="F144" s="268">
        <f t="shared" si="52"/>
        <v>85394.409832215446</v>
      </c>
      <c r="G144" s="268">
        <f t="shared" si="52"/>
        <v>46326.701751752858</v>
      </c>
      <c r="H144" s="268">
        <f t="shared" si="52"/>
        <v>6656.5929825467447</v>
      </c>
      <c r="I144" s="203"/>
      <c r="J144" s="231">
        <v>9</v>
      </c>
      <c r="K144" s="253">
        <f t="shared" si="51"/>
        <v>0.15371348396025208</v>
      </c>
      <c r="L144" s="253">
        <f t="shared" si="51"/>
        <v>0</v>
      </c>
      <c r="M144" s="253">
        <f t="shared" si="51"/>
        <v>0</v>
      </c>
      <c r="N144" s="253">
        <f t="shared" si="51"/>
        <v>0</v>
      </c>
      <c r="O144" s="253">
        <f t="shared" si="51"/>
        <v>0</v>
      </c>
      <c r="P144" s="253">
        <f t="shared" si="51"/>
        <v>0</v>
      </c>
      <c r="Q144" s="253">
        <f t="shared" si="51"/>
        <v>0</v>
      </c>
      <c r="R144" s="253">
        <f t="shared" si="51"/>
        <v>0</v>
      </c>
      <c r="S144" s="253">
        <f t="shared" si="51"/>
        <v>0</v>
      </c>
      <c r="T144" s="253">
        <f t="shared" si="51"/>
        <v>0</v>
      </c>
      <c r="U144" s="253">
        <f t="shared" si="51"/>
        <v>7.6161100779086055E-2</v>
      </c>
      <c r="V144" s="253">
        <f t="shared" si="51"/>
        <v>0.17213641519443118</v>
      </c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09"/>
      <c r="AK144" s="203"/>
      <c r="AL144" s="203"/>
    </row>
    <row r="145" spans="1:38">
      <c r="A145" s="203"/>
      <c r="B145" s="203"/>
      <c r="C145" s="203"/>
      <c r="D145" s="203"/>
      <c r="E145" s="203"/>
      <c r="F145" s="203"/>
      <c r="G145" s="203"/>
      <c r="H145" s="203"/>
      <c r="I145" s="203"/>
      <c r="J145" s="231">
        <v>10</v>
      </c>
      <c r="K145" s="253">
        <f t="shared" si="51"/>
        <v>0</v>
      </c>
      <c r="L145" s="253">
        <f t="shared" si="51"/>
        <v>0</v>
      </c>
      <c r="M145" s="253">
        <f t="shared" si="51"/>
        <v>0</v>
      </c>
      <c r="N145" s="253">
        <f t="shared" si="51"/>
        <v>0</v>
      </c>
      <c r="O145" s="253">
        <f t="shared" si="51"/>
        <v>0</v>
      </c>
      <c r="P145" s="253">
        <f t="shared" si="51"/>
        <v>0</v>
      </c>
      <c r="Q145" s="253">
        <f t="shared" si="51"/>
        <v>0</v>
      </c>
      <c r="R145" s="253">
        <f t="shared" si="51"/>
        <v>0</v>
      </c>
      <c r="S145" s="253">
        <f t="shared" si="51"/>
        <v>0</v>
      </c>
      <c r="T145" s="253">
        <f t="shared" si="51"/>
        <v>0</v>
      </c>
      <c r="U145" s="253">
        <f t="shared" si="51"/>
        <v>0</v>
      </c>
      <c r="V145" s="253">
        <f t="shared" si="51"/>
        <v>0</v>
      </c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09"/>
      <c r="AK145" s="203"/>
      <c r="AL145" s="203"/>
    </row>
    <row r="146" spans="1:38">
      <c r="A146" s="203"/>
      <c r="B146" s="203"/>
      <c r="C146" s="203"/>
      <c r="D146" s="203"/>
      <c r="E146" s="203"/>
      <c r="F146" s="203"/>
      <c r="G146" s="203"/>
      <c r="H146" s="203"/>
      <c r="I146" s="203"/>
      <c r="J146" s="231">
        <v>11</v>
      </c>
      <c r="K146" s="253">
        <f t="shared" si="51"/>
        <v>0</v>
      </c>
      <c r="L146" s="253">
        <f t="shared" si="51"/>
        <v>0</v>
      </c>
      <c r="M146" s="253">
        <f t="shared" si="51"/>
        <v>0</v>
      </c>
      <c r="N146" s="253">
        <f t="shared" si="51"/>
        <v>0</v>
      </c>
      <c r="O146" s="253">
        <f t="shared" si="51"/>
        <v>0</v>
      </c>
      <c r="P146" s="253">
        <f t="shared" si="51"/>
        <v>0</v>
      </c>
      <c r="Q146" s="253">
        <f t="shared" si="51"/>
        <v>0</v>
      </c>
      <c r="R146" s="253">
        <f t="shared" si="51"/>
        <v>0</v>
      </c>
      <c r="S146" s="253">
        <f t="shared" si="51"/>
        <v>0</v>
      </c>
      <c r="T146" s="253">
        <f t="shared" si="51"/>
        <v>0</v>
      </c>
      <c r="U146" s="253">
        <f t="shared" si="51"/>
        <v>0</v>
      </c>
      <c r="V146" s="253">
        <f t="shared" si="51"/>
        <v>0</v>
      </c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09"/>
      <c r="AK146" s="203"/>
      <c r="AL146" s="203"/>
    </row>
    <row r="147" spans="1:38">
      <c r="A147" s="203"/>
      <c r="B147" s="203"/>
      <c r="C147" s="203"/>
      <c r="D147" s="203"/>
      <c r="E147" s="203"/>
      <c r="F147" s="203"/>
      <c r="G147" s="203"/>
      <c r="H147" s="203"/>
      <c r="I147" s="203"/>
      <c r="J147" s="231">
        <v>12</v>
      </c>
      <c r="K147" s="253">
        <f t="shared" si="51"/>
        <v>0</v>
      </c>
      <c r="L147" s="253">
        <f t="shared" si="51"/>
        <v>0</v>
      </c>
      <c r="M147" s="253">
        <f t="shared" si="51"/>
        <v>0</v>
      </c>
      <c r="N147" s="253">
        <f t="shared" si="51"/>
        <v>0</v>
      </c>
      <c r="O147" s="253">
        <f t="shared" si="51"/>
        <v>0</v>
      </c>
      <c r="P147" s="253">
        <f t="shared" si="51"/>
        <v>0</v>
      </c>
      <c r="Q147" s="253">
        <f t="shared" si="51"/>
        <v>0</v>
      </c>
      <c r="R147" s="253">
        <f t="shared" si="51"/>
        <v>0</v>
      </c>
      <c r="S147" s="253">
        <f t="shared" si="51"/>
        <v>0</v>
      </c>
      <c r="T147" s="253">
        <f t="shared" si="51"/>
        <v>0</v>
      </c>
      <c r="U147" s="253">
        <f t="shared" si="51"/>
        <v>0</v>
      </c>
      <c r="V147" s="253">
        <f t="shared" si="51"/>
        <v>0</v>
      </c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09"/>
      <c r="AK147" s="203"/>
      <c r="AL147" s="203"/>
    </row>
    <row r="148" spans="1:38">
      <c r="A148" s="203"/>
      <c r="B148" s="203"/>
      <c r="C148" s="203"/>
      <c r="D148" s="203"/>
      <c r="E148" s="203"/>
      <c r="F148" s="203"/>
      <c r="G148" s="203"/>
      <c r="H148" s="203"/>
      <c r="I148" s="203"/>
      <c r="J148" s="231">
        <v>13</v>
      </c>
      <c r="K148" s="253">
        <f t="shared" si="51"/>
        <v>0</v>
      </c>
      <c r="L148" s="253">
        <f t="shared" si="51"/>
        <v>0</v>
      </c>
      <c r="M148" s="253">
        <f t="shared" si="51"/>
        <v>0</v>
      </c>
      <c r="N148" s="253">
        <f t="shared" si="51"/>
        <v>0</v>
      </c>
      <c r="O148" s="253">
        <f t="shared" si="51"/>
        <v>0</v>
      </c>
      <c r="P148" s="253">
        <f t="shared" si="51"/>
        <v>0</v>
      </c>
      <c r="Q148" s="253">
        <f t="shared" si="51"/>
        <v>0</v>
      </c>
      <c r="R148" s="253">
        <f t="shared" si="51"/>
        <v>0</v>
      </c>
      <c r="S148" s="253">
        <f t="shared" si="51"/>
        <v>0</v>
      </c>
      <c r="T148" s="253">
        <f t="shared" si="51"/>
        <v>0</v>
      </c>
      <c r="U148" s="253">
        <f t="shared" si="51"/>
        <v>0</v>
      </c>
      <c r="V148" s="253">
        <f t="shared" si="51"/>
        <v>0</v>
      </c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09"/>
      <c r="AK148" s="203"/>
      <c r="AL148" s="203"/>
    </row>
    <row r="149" spans="1:38">
      <c r="A149" s="203"/>
      <c r="B149" s="203"/>
      <c r="C149" s="203"/>
      <c r="D149" s="203"/>
      <c r="E149" s="203"/>
      <c r="F149" s="203"/>
      <c r="G149" s="203"/>
      <c r="H149" s="203"/>
      <c r="I149" s="203"/>
      <c r="J149" s="231">
        <v>14</v>
      </c>
      <c r="K149" s="253">
        <f t="shared" si="51"/>
        <v>0</v>
      </c>
      <c r="L149" s="253">
        <f t="shared" si="51"/>
        <v>0</v>
      </c>
      <c r="M149" s="253">
        <f t="shared" si="51"/>
        <v>0</v>
      </c>
      <c r="N149" s="253">
        <f t="shared" si="51"/>
        <v>0</v>
      </c>
      <c r="O149" s="253">
        <f t="shared" si="51"/>
        <v>0</v>
      </c>
      <c r="P149" s="253">
        <f t="shared" si="51"/>
        <v>0</v>
      </c>
      <c r="Q149" s="253">
        <f t="shared" si="51"/>
        <v>0</v>
      </c>
      <c r="R149" s="253">
        <f t="shared" si="51"/>
        <v>0</v>
      </c>
      <c r="S149" s="253">
        <f t="shared" si="51"/>
        <v>0</v>
      </c>
      <c r="T149" s="253">
        <f t="shared" si="51"/>
        <v>0</v>
      </c>
      <c r="U149" s="253">
        <f t="shared" si="51"/>
        <v>0</v>
      </c>
      <c r="V149" s="253">
        <f t="shared" si="51"/>
        <v>0</v>
      </c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09"/>
      <c r="AK149" s="203"/>
      <c r="AL149" s="203"/>
    </row>
    <row r="150" spans="1:38">
      <c r="A150" s="203"/>
      <c r="B150" s="203"/>
      <c r="C150" s="203"/>
      <c r="D150" s="203"/>
      <c r="E150" s="203"/>
      <c r="F150" s="203"/>
      <c r="G150" s="203"/>
      <c r="H150" s="203"/>
      <c r="I150" s="203"/>
      <c r="J150" s="231">
        <v>15</v>
      </c>
      <c r="K150" s="253">
        <f t="shared" ref="K150:V158" si="53">K85-K117</f>
        <v>0</v>
      </c>
      <c r="L150" s="253">
        <f t="shared" si="53"/>
        <v>0</v>
      </c>
      <c r="M150" s="253">
        <f t="shared" si="53"/>
        <v>0</v>
      </c>
      <c r="N150" s="253">
        <f t="shared" si="53"/>
        <v>0</v>
      </c>
      <c r="O150" s="253">
        <f t="shared" si="53"/>
        <v>0</v>
      </c>
      <c r="P150" s="253">
        <f t="shared" si="53"/>
        <v>0</v>
      </c>
      <c r="Q150" s="253">
        <f t="shared" si="53"/>
        <v>0</v>
      </c>
      <c r="R150" s="253">
        <f t="shared" si="53"/>
        <v>0</v>
      </c>
      <c r="S150" s="253">
        <f t="shared" si="53"/>
        <v>0</v>
      </c>
      <c r="T150" s="253">
        <f t="shared" si="53"/>
        <v>0</v>
      </c>
      <c r="U150" s="253">
        <f t="shared" si="53"/>
        <v>0</v>
      </c>
      <c r="V150" s="253">
        <f t="shared" si="53"/>
        <v>0</v>
      </c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09"/>
      <c r="AK150" s="203"/>
      <c r="AL150" s="203"/>
    </row>
    <row r="151" spans="1:38">
      <c r="A151" s="203"/>
      <c r="B151" s="203"/>
      <c r="C151" s="203"/>
      <c r="D151" s="203"/>
      <c r="E151" s="203"/>
      <c r="F151" s="203"/>
      <c r="G151" s="203"/>
      <c r="H151" s="203"/>
      <c r="I151" s="203"/>
      <c r="J151" s="231">
        <v>16</v>
      </c>
      <c r="K151" s="253">
        <f t="shared" si="53"/>
        <v>0</v>
      </c>
      <c r="L151" s="253">
        <f t="shared" si="53"/>
        <v>0</v>
      </c>
      <c r="M151" s="253">
        <f t="shared" si="53"/>
        <v>0</v>
      </c>
      <c r="N151" s="253">
        <f t="shared" si="53"/>
        <v>0</v>
      </c>
      <c r="O151" s="253">
        <f t="shared" si="53"/>
        <v>0</v>
      </c>
      <c r="P151" s="253">
        <f t="shared" si="53"/>
        <v>0</v>
      </c>
      <c r="Q151" s="253">
        <f t="shared" si="53"/>
        <v>0</v>
      </c>
      <c r="R151" s="253">
        <f t="shared" si="53"/>
        <v>0</v>
      </c>
      <c r="S151" s="253">
        <f t="shared" si="53"/>
        <v>0</v>
      </c>
      <c r="T151" s="253">
        <f t="shared" si="53"/>
        <v>0</v>
      </c>
      <c r="U151" s="253">
        <f t="shared" si="53"/>
        <v>0</v>
      </c>
      <c r="V151" s="253">
        <f t="shared" si="53"/>
        <v>0</v>
      </c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09"/>
      <c r="AK151" s="203"/>
      <c r="AL151" s="203"/>
    </row>
    <row r="152" spans="1:38">
      <c r="A152" s="203"/>
      <c r="B152" s="203"/>
      <c r="C152" s="203"/>
      <c r="D152" s="203"/>
      <c r="E152" s="203"/>
      <c r="F152" s="203"/>
      <c r="G152" s="203"/>
      <c r="H152" s="203"/>
      <c r="I152" s="203"/>
      <c r="J152" s="231">
        <v>17</v>
      </c>
      <c r="K152" s="253">
        <f t="shared" si="53"/>
        <v>0.23225806451612904</v>
      </c>
      <c r="L152" s="253">
        <f t="shared" si="53"/>
        <v>5.6131767910233749E-2</v>
      </c>
      <c r="M152" s="253">
        <f t="shared" si="53"/>
        <v>0</v>
      </c>
      <c r="N152" s="253">
        <f t="shared" si="53"/>
        <v>0</v>
      </c>
      <c r="O152" s="253">
        <f t="shared" si="53"/>
        <v>0</v>
      </c>
      <c r="P152" s="253">
        <f t="shared" si="53"/>
        <v>0</v>
      </c>
      <c r="Q152" s="253">
        <f t="shared" si="53"/>
        <v>0</v>
      </c>
      <c r="R152" s="253">
        <f t="shared" si="53"/>
        <v>0</v>
      </c>
      <c r="S152" s="253">
        <f t="shared" si="53"/>
        <v>0</v>
      </c>
      <c r="T152" s="253">
        <f t="shared" si="53"/>
        <v>0</v>
      </c>
      <c r="U152" s="253">
        <f t="shared" si="53"/>
        <v>0.19344620055833286</v>
      </c>
      <c r="V152" s="253">
        <f t="shared" si="53"/>
        <v>0.23225806451612904</v>
      </c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09"/>
      <c r="AK152" s="203"/>
      <c r="AL152" s="203"/>
    </row>
    <row r="153" spans="1:38">
      <c r="A153" s="203"/>
      <c r="B153" s="203"/>
      <c r="C153" s="203"/>
      <c r="D153" s="203"/>
      <c r="E153" s="203"/>
      <c r="F153" s="203"/>
      <c r="G153" s="203"/>
      <c r="H153" s="203"/>
      <c r="I153" s="203"/>
      <c r="J153" s="231">
        <v>18</v>
      </c>
      <c r="K153" s="253">
        <f t="shared" si="53"/>
        <v>0.34838709677419349</v>
      </c>
      <c r="L153" s="253">
        <f t="shared" si="53"/>
        <v>0.28064516129032258</v>
      </c>
      <c r="M153" s="253">
        <f t="shared" si="53"/>
        <v>0.24441106763133008</v>
      </c>
      <c r="N153" s="253">
        <f t="shared" si="53"/>
        <v>0</v>
      </c>
      <c r="O153" s="253">
        <f t="shared" si="53"/>
        <v>0</v>
      </c>
      <c r="P153" s="253">
        <f t="shared" si="53"/>
        <v>0</v>
      </c>
      <c r="Q153" s="253">
        <f t="shared" si="53"/>
        <v>0</v>
      </c>
      <c r="R153" s="253">
        <f t="shared" si="53"/>
        <v>0</v>
      </c>
      <c r="S153" s="253">
        <f t="shared" si="53"/>
        <v>0.35168637788040535</v>
      </c>
      <c r="T153" s="253">
        <f t="shared" si="53"/>
        <v>0.3</v>
      </c>
      <c r="U153" s="253">
        <f t="shared" si="53"/>
        <v>0.32903225806451608</v>
      </c>
      <c r="V153" s="253">
        <f t="shared" si="53"/>
        <v>0.34838709677419349</v>
      </c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09"/>
      <c r="AK153" s="203"/>
      <c r="AL153" s="203"/>
    </row>
    <row r="154" spans="1:38">
      <c r="A154" s="203"/>
      <c r="B154" s="203"/>
      <c r="C154" s="203"/>
      <c r="D154" s="203"/>
      <c r="E154" s="203"/>
      <c r="F154" s="203"/>
      <c r="G154" s="203"/>
      <c r="H154" s="203"/>
      <c r="I154" s="203"/>
      <c r="J154" s="231">
        <v>19</v>
      </c>
      <c r="K154" s="253">
        <f t="shared" si="53"/>
        <v>0.52258064516129032</v>
      </c>
      <c r="L154" s="253">
        <f t="shared" si="53"/>
        <v>0.42096774193548386</v>
      </c>
      <c r="M154" s="253">
        <f t="shared" si="53"/>
        <v>0.46451612903225803</v>
      </c>
      <c r="N154" s="253">
        <f t="shared" si="53"/>
        <v>0.47229063295239737</v>
      </c>
      <c r="O154" s="253">
        <f t="shared" si="53"/>
        <v>0.37797830203658422</v>
      </c>
      <c r="P154" s="253">
        <f t="shared" si="53"/>
        <v>0.47432197906554358</v>
      </c>
      <c r="Q154" s="253">
        <f t="shared" si="53"/>
        <v>0.67354259609455713</v>
      </c>
      <c r="R154" s="253">
        <f t="shared" si="53"/>
        <v>0.77243835215317103</v>
      </c>
      <c r="S154" s="253">
        <f t="shared" si="53"/>
        <v>0.76209677419354838</v>
      </c>
      <c r="T154" s="253">
        <f t="shared" si="53"/>
        <v>0.44999999999999996</v>
      </c>
      <c r="U154" s="253">
        <f t="shared" si="53"/>
        <v>0.49354838709677418</v>
      </c>
      <c r="V154" s="253">
        <f t="shared" si="53"/>
        <v>0.52258064516129032</v>
      </c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09"/>
      <c r="AK154" s="203"/>
      <c r="AL154" s="203"/>
    </row>
    <row r="155" spans="1:38">
      <c r="A155" s="203"/>
      <c r="B155" s="203"/>
      <c r="C155" s="203"/>
      <c r="D155" s="203"/>
      <c r="E155" s="203"/>
      <c r="F155" s="203"/>
      <c r="G155" s="203"/>
      <c r="H155" s="203"/>
      <c r="I155" s="203"/>
      <c r="J155" s="231">
        <v>20</v>
      </c>
      <c r="K155" s="253">
        <f t="shared" si="53"/>
        <v>0.52258064516129032</v>
      </c>
      <c r="L155" s="253">
        <f t="shared" si="53"/>
        <v>0.42096774193548386</v>
      </c>
      <c r="M155" s="253">
        <f t="shared" si="53"/>
        <v>0.46451612903225803</v>
      </c>
      <c r="N155" s="253">
        <f t="shared" si="53"/>
        <v>0.48629032258064514</v>
      </c>
      <c r="O155" s="253">
        <f t="shared" si="53"/>
        <v>0.58064516129032262</v>
      </c>
      <c r="P155" s="253">
        <f t="shared" si="53"/>
        <v>0.77661290322580645</v>
      </c>
      <c r="Q155" s="253">
        <f t="shared" si="53"/>
        <v>0.92903225806451606</v>
      </c>
      <c r="R155" s="253">
        <f t="shared" si="53"/>
        <v>0.84919354838709671</v>
      </c>
      <c r="S155" s="253">
        <f t="shared" si="53"/>
        <v>0.76209677419354838</v>
      </c>
      <c r="T155" s="253">
        <f t="shared" si="53"/>
        <v>0.44999999999999996</v>
      </c>
      <c r="U155" s="253">
        <f t="shared" si="53"/>
        <v>0.49354838709677418</v>
      </c>
      <c r="V155" s="253">
        <f t="shared" si="53"/>
        <v>0.52258064516129032</v>
      </c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09"/>
      <c r="AK155" s="203"/>
      <c r="AL155" s="203"/>
    </row>
    <row r="156" spans="1:38">
      <c r="A156" s="203"/>
      <c r="B156" s="203"/>
      <c r="C156" s="203"/>
      <c r="D156" s="203"/>
      <c r="E156" s="203"/>
      <c r="F156" s="203"/>
      <c r="G156" s="203"/>
      <c r="H156" s="203"/>
      <c r="I156" s="203"/>
      <c r="J156" s="231">
        <v>21</v>
      </c>
      <c r="K156" s="253">
        <f t="shared" si="53"/>
        <v>0.29032258064516131</v>
      </c>
      <c r="L156" s="253">
        <f t="shared" si="53"/>
        <v>0.23387096774193547</v>
      </c>
      <c r="M156" s="253">
        <f t="shared" si="53"/>
        <v>0.25806451612903225</v>
      </c>
      <c r="N156" s="253">
        <f t="shared" si="53"/>
        <v>0.27016129032258063</v>
      </c>
      <c r="O156" s="253">
        <f t="shared" si="53"/>
        <v>0.32258064516129031</v>
      </c>
      <c r="P156" s="253">
        <f t="shared" si="53"/>
        <v>0.43145161290322581</v>
      </c>
      <c r="Q156" s="253">
        <f t="shared" si="53"/>
        <v>0.5161290322580645</v>
      </c>
      <c r="R156" s="253">
        <f t="shared" si="53"/>
        <v>0.47177419354838712</v>
      </c>
      <c r="S156" s="253">
        <f t="shared" si="53"/>
        <v>0.42338709677419356</v>
      </c>
      <c r="T156" s="253">
        <f t="shared" si="53"/>
        <v>0.25</v>
      </c>
      <c r="U156" s="253">
        <f t="shared" si="53"/>
        <v>0.27419354838709675</v>
      </c>
      <c r="V156" s="253">
        <f t="shared" si="53"/>
        <v>0.29032258064516131</v>
      </c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09"/>
      <c r="AK156" s="203"/>
      <c r="AL156" s="203"/>
    </row>
    <row r="157" spans="1:38">
      <c r="A157" s="203"/>
      <c r="B157" s="203"/>
      <c r="C157" s="203"/>
      <c r="D157" s="203"/>
      <c r="E157" s="203"/>
      <c r="F157" s="203"/>
      <c r="G157" s="203"/>
      <c r="H157" s="203"/>
      <c r="I157" s="203"/>
      <c r="J157" s="231">
        <v>22</v>
      </c>
      <c r="K157" s="253">
        <f t="shared" si="53"/>
        <v>0.23225806451612904</v>
      </c>
      <c r="L157" s="253">
        <f t="shared" si="53"/>
        <v>0.18709677419354839</v>
      </c>
      <c r="M157" s="253">
        <f t="shared" si="53"/>
        <v>0.20645161290322581</v>
      </c>
      <c r="N157" s="253">
        <f t="shared" si="53"/>
        <v>0.21612903225806451</v>
      </c>
      <c r="O157" s="253">
        <f t="shared" si="53"/>
        <v>0.25806451612903225</v>
      </c>
      <c r="P157" s="253">
        <f t="shared" si="53"/>
        <v>0.34516129032258069</v>
      </c>
      <c r="Q157" s="253">
        <f t="shared" si="53"/>
        <v>0.41290322580645161</v>
      </c>
      <c r="R157" s="253">
        <f t="shared" si="53"/>
        <v>0.3774193548387097</v>
      </c>
      <c r="S157" s="253">
        <f t="shared" si="53"/>
        <v>0.33870967741935482</v>
      </c>
      <c r="T157" s="253">
        <f t="shared" si="53"/>
        <v>0.2</v>
      </c>
      <c r="U157" s="253">
        <f t="shared" si="53"/>
        <v>0.21935483870967742</v>
      </c>
      <c r="V157" s="253">
        <f t="shared" si="53"/>
        <v>0.23225806451612904</v>
      </c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09"/>
      <c r="AK157" s="203"/>
      <c r="AL157" s="203"/>
    </row>
    <row r="158" spans="1:38" ht="13.5" thickBot="1">
      <c r="A158" s="203"/>
      <c r="B158" s="203"/>
      <c r="C158" s="203"/>
      <c r="D158" s="203"/>
      <c r="E158" s="203"/>
      <c r="F158" s="203"/>
      <c r="G158" s="203"/>
      <c r="H158" s="203"/>
      <c r="I158" s="203"/>
      <c r="J158" s="240">
        <v>23</v>
      </c>
      <c r="K158" s="269">
        <f t="shared" si="53"/>
        <v>0.17419354838709675</v>
      </c>
      <c r="L158" s="269">
        <f t="shared" si="53"/>
        <v>0.14032258064516129</v>
      </c>
      <c r="M158" s="269">
        <f t="shared" si="53"/>
        <v>0.15483870967741936</v>
      </c>
      <c r="N158" s="269">
        <f t="shared" si="53"/>
        <v>0.16209677419354837</v>
      </c>
      <c r="O158" s="269">
        <f t="shared" si="53"/>
        <v>0.19354838709677419</v>
      </c>
      <c r="P158" s="269">
        <f t="shared" si="53"/>
        <v>0.25887096774193552</v>
      </c>
      <c r="Q158" s="269">
        <f t="shared" si="53"/>
        <v>0.30967741935483872</v>
      </c>
      <c r="R158" s="269">
        <f t="shared" si="53"/>
        <v>0.28306451612903227</v>
      </c>
      <c r="S158" s="269">
        <f t="shared" si="53"/>
        <v>0.25403225806451613</v>
      </c>
      <c r="T158" s="269">
        <f t="shared" si="53"/>
        <v>0.15</v>
      </c>
      <c r="U158" s="269">
        <f t="shared" si="53"/>
        <v>0.16451612903225804</v>
      </c>
      <c r="V158" s="269">
        <f t="shared" si="53"/>
        <v>0.17419354838709675</v>
      </c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09"/>
      <c r="AK158" s="203"/>
      <c r="AL158" s="203"/>
    </row>
    <row r="159" spans="1:38">
      <c r="A159" s="203"/>
      <c r="B159" s="203"/>
      <c r="C159" s="203"/>
      <c r="D159" s="203"/>
      <c r="E159" s="203"/>
      <c r="F159" s="203"/>
      <c r="G159" s="203"/>
      <c r="H159" s="203"/>
      <c r="I159" s="518" t="s">
        <v>240</v>
      </c>
      <c r="J159" s="519"/>
      <c r="K159" s="270">
        <f>SUM(K135:K158)</f>
        <v>3.9454473491055899</v>
      </c>
      <c r="L159" s="270">
        <f t="shared" ref="L159:V159" si="54">SUM(L135:L158)</f>
        <v>2.7129239892769745</v>
      </c>
      <c r="M159" s="270">
        <f t="shared" si="54"/>
        <v>2.6736985187428974</v>
      </c>
      <c r="N159" s="270">
        <f t="shared" si="54"/>
        <v>2.3506476030532899</v>
      </c>
      <c r="O159" s="270">
        <f t="shared" si="54"/>
        <v>2.4685995698154253</v>
      </c>
      <c r="P159" s="270">
        <f t="shared" si="54"/>
        <v>3.2548030224028004</v>
      </c>
      <c r="Q159" s="270">
        <f t="shared" si="54"/>
        <v>4.0918335909994203</v>
      </c>
      <c r="R159" s="270">
        <f t="shared" si="54"/>
        <v>4.4382290188805946</v>
      </c>
      <c r="S159" s="270">
        <f t="shared" si="54"/>
        <v>4.3059701870474463</v>
      </c>
      <c r="T159" s="270">
        <f t="shared" si="54"/>
        <v>2.74379503482549</v>
      </c>
      <c r="U159" s="270">
        <f t="shared" si="54"/>
        <v>3.5536803322330561</v>
      </c>
      <c r="V159" s="270">
        <f t="shared" si="54"/>
        <v>4.0145338180928629</v>
      </c>
      <c r="W159" s="271" t="s">
        <v>241</v>
      </c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57"/>
      <c r="AK159" s="203"/>
      <c r="AL159" s="203"/>
    </row>
    <row r="160" spans="1:38" ht="13.5" thickBot="1">
      <c r="A160" s="203"/>
      <c r="B160" s="203"/>
      <c r="C160" s="203"/>
      <c r="D160" s="203"/>
      <c r="E160" s="203"/>
      <c r="F160" s="203"/>
      <c r="G160" s="203"/>
      <c r="H160" s="203"/>
      <c r="I160" s="520" t="s">
        <v>242</v>
      </c>
      <c r="J160" s="521"/>
      <c r="K160" s="272">
        <f>K159*31</f>
        <v>122.30886782227329</v>
      </c>
      <c r="L160" s="272">
        <f>L159*28</f>
        <v>75.961871699755292</v>
      </c>
      <c r="M160" s="272">
        <f>M159*31</f>
        <v>82.884654081029822</v>
      </c>
      <c r="N160" s="272">
        <f>N159*30</f>
        <v>70.519428091598698</v>
      </c>
      <c r="O160" s="272">
        <f>O159*31</f>
        <v>76.526586664278184</v>
      </c>
      <c r="P160" s="272">
        <f>P159*30</f>
        <v>97.644090672084019</v>
      </c>
      <c r="Q160" s="272">
        <f>Q159*31</f>
        <v>126.84684132098204</v>
      </c>
      <c r="R160" s="272">
        <f>R159*31</f>
        <v>137.58509958529842</v>
      </c>
      <c r="S160" s="272">
        <f>S159*30</f>
        <v>129.17910561142338</v>
      </c>
      <c r="T160" s="272">
        <f>T159*31</f>
        <v>85.057646079590185</v>
      </c>
      <c r="U160" s="272">
        <f>U159*30</f>
        <v>106.61040996699168</v>
      </c>
      <c r="V160" s="273">
        <f>V159*31</f>
        <v>124.45054836087876</v>
      </c>
      <c r="W160" s="274">
        <f>SUM(K160:V160)</f>
        <v>1235.5751499561836</v>
      </c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03"/>
      <c r="AL160" s="203"/>
    </row>
    <row r="161" spans="1:38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57"/>
      <c r="V161" s="257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75"/>
      <c r="AK161" s="203"/>
      <c r="AL161" s="203"/>
    </row>
    <row r="162" spans="1:38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</row>
    <row r="163" spans="1:38" ht="13.5" thickBot="1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</row>
    <row r="164" spans="1:38">
      <c r="A164" s="203"/>
      <c r="B164" s="203"/>
      <c r="C164" s="203"/>
      <c r="D164" s="203"/>
      <c r="E164" s="203"/>
      <c r="F164" s="203"/>
      <c r="G164" s="203"/>
      <c r="H164" s="203"/>
      <c r="I164" s="290" t="s">
        <v>256</v>
      </c>
      <c r="J164" s="300">
        <f>IF(Calcoli!$Q$49=2,0,'Simulazione 8.4'!C36)</f>
        <v>2500</v>
      </c>
      <c r="K164" s="291"/>
      <c r="L164" s="291" t="s">
        <v>260</v>
      </c>
      <c r="M164" s="300">
        <f>J168+K168+L168+M168+N168+O168+O170+N170+M170+L170+K170+J170</f>
        <v>2500</v>
      </c>
      <c r="N164" s="291"/>
      <c r="O164" s="292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</row>
    <row r="165" spans="1:38">
      <c r="A165" s="203"/>
      <c r="B165" s="203"/>
      <c r="C165" s="203"/>
      <c r="D165" s="203"/>
      <c r="E165" s="203"/>
      <c r="F165" s="203"/>
      <c r="G165" s="203"/>
      <c r="H165" s="203"/>
      <c r="I165" s="293"/>
      <c r="J165" s="209"/>
      <c r="K165" s="209"/>
      <c r="L165" s="209"/>
      <c r="M165" s="209"/>
      <c r="N165" s="209"/>
      <c r="O165" s="294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</row>
    <row r="166" spans="1:38">
      <c r="A166" s="203"/>
      <c r="B166" s="203"/>
      <c r="C166" s="203"/>
      <c r="D166" s="203"/>
      <c r="E166" s="203"/>
      <c r="F166" s="203"/>
      <c r="G166" s="203"/>
      <c r="H166" s="203"/>
      <c r="I166" s="293"/>
      <c r="J166" s="209"/>
      <c r="K166" s="209"/>
      <c r="L166" s="209"/>
      <c r="M166" s="209"/>
      <c r="N166" s="209"/>
      <c r="O166" s="294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</row>
    <row r="167" spans="1:38">
      <c r="A167" s="203"/>
      <c r="B167" s="203"/>
      <c r="C167" s="203"/>
      <c r="D167" s="203"/>
      <c r="E167" s="203"/>
      <c r="F167" s="203"/>
      <c r="G167" s="203"/>
      <c r="H167" s="203"/>
      <c r="I167" s="293"/>
      <c r="J167" s="279" t="s">
        <v>223</v>
      </c>
      <c r="K167" s="279" t="s">
        <v>224</v>
      </c>
      <c r="L167" s="279" t="s">
        <v>225</v>
      </c>
      <c r="M167" s="279" t="s">
        <v>257</v>
      </c>
      <c r="N167" s="279" t="s">
        <v>227</v>
      </c>
      <c r="O167" s="299" t="s">
        <v>228</v>
      </c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</row>
    <row r="168" spans="1:38">
      <c r="A168" s="203"/>
      <c r="B168" s="203"/>
      <c r="C168" s="203"/>
      <c r="D168" s="203"/>
      <c r="E168" s="203"/>
      <c r="F168" s="203"/>
      <c r="G168" s="203"/>
      <c r="H168" s="203"/>
      <c r="I168" s="293"/>
      <c r="J168" s="306">
        <f t="shared" ref="J168:O168" si="55">$J$164/100*J172</f>
        <v>180</v>
      </c>
      <c r="K168" s="306">
        <f t="shared" si="55"/>
        <v>145</v>
      </c>
      <c r="L168" s="306">
        <f t="shared" si="55"/>
        <v>160</v>
      </c>
      <c r="M168" s="306">
        <f t="shared" si="55"/>
        <v>167.5</v>
      </c>
      <c r="N168" s="306">
        <f t="shared" si="55"/>
        <v>200</v>
      </c>
      <c r="O168" s="307">
        <f t="shared" si="55"/>
        <v>267.5</v>
      </c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</row>
    <row r="169" spans="1:38">
      <c r="A169" s="203"/>
      <c r="B169" s="203"/>
      <c r="C169" s="203"/>
      <c r="D169" s="203"/>
      <c r="E169" s="203"/>
      <c r="F169" s="203"/>
      <c r="G169" s="203"/>
      <c r="H169" s="203"/>
      <c r="I169" s="293"/>
      <c r="J169" s="279" t="s">
        <v>229</v>
      </c>
      <c r="K169" s="279" t="s">
        <v>230</v>
      </c>
      <c r="L169" s="279" t="s">
        <v>231</v>
      </c>
      <c r="M169" s="279" t="s">
        <v>232</v>
      </c>
      <c r="N169" s="279" t="s">
        <v>258</v>
      </c>
      <c r="O169" s="299" t="s">
        <v>234</v>
      </c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</row>
    <row r="170" spans="1:38" ht="13.5" thickBot="1">
      <c r="A170" s="203"/>
      <c r="B170" s="203"/>
      <c r="C170" s="203"/>
      <c r="D170" s="203"/>
      <c r="E170" s="203"/>
      <c r="F170" s="203"/>
      <c r="G170" s="203"/>
      <c r="H170" s="203"/>
      <c r="I170" s="295"/>
      <c r="J170" s="308">
        <f t="shared" ref="J170:O170" si="56">$J$164/100*J173</f>
        <v>320</v>
      </c>
      <c r="K170" s="308">
        <f t="shared" si="56"/>
        <v>292.5</v>
      </c>
      <c r="L170" s="308">
        <f t="shared" si="56"/>
        <v>262.5</v>
      </c>
      <c r="M170" s="308">
        <f t="shared" si="56"/>
        <v>155</v>
      </c>
      <c r="N170" s="308">
        <f t="shared" si="56"/>
        <v>170</v>
      </c>
      <c r="O170" s="309">
        <f t="shared" si="56"/>
        <v>180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</row>
    <row r="171" spans="1:38">
      <c r="A171" s="203"/>
      <c r="B171" s="203"/>
      <c r="C171" s="203"/>
      <c r="D171" s="203"/>
      <c r="E171" s="203"/>
      <c r="F171" s="203"/>
      <c r="G171" s="203"/>
      <c r="H171" s="203"/>
      <c r="I171" s="293"/>
      <c r="J171" s="209"/>
      <c r="K171" s="209"/>
      <c r="L171" s="209"/>
      <c r="M171" s="209"/>
      <c r="N171" s="209"/>
      <c r="O171" s="294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</row>
    <row r="172" spans="1:38">
      <c r="A172" s="203"/>
      <c r="B172" s="203"/>
      <c r="C172" s="203"/>
      <c r="D172" s="203"/>
      <c r="E172" s="203"/>
      <c r="F172" s="203"/>
      <c r="G172" s="203"/>
      <c r="H172" s="203"/>
      <c r="I172" s="293"/>
      <c r="J172" s="209">
        <v>7.2</v>
      </c>
      <c r="K172" s="209">
        <v>5.8</v>
      </c>
      <c r="L172" s="209">
        <v>6.4</v>
      </c>
      <c r="M172" s="209">
        <v>6.7</v>
      </c>
      <c r="N172" s="209">
        <v>8</v>
      </c>
      <c r="O172" s="294">
        <v>10.7</v>
      </c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</row>
    <row r="173" spans="1:38" ht="13.5" thickBot="1">
      <c r="I173" s="296"/>
      <c r="J173" s="297">
        <v>12.8</v>
      </c>
      <c r="K173" s="297">
        <v>11.7</v>
      </c>
      <c r="L173" s="297">
        <v>10.5</v>
      </c>
      <c r="M173" s="297">
        <v>6.2</v>
      </c>
      <c r="N173" s="297">
        <v>6.8</v>
      </c>
      <c r="O173" s="298">
        <v>7.2</v>
      </c>
    </row>
    <row r="175" spans="1:38" ht="13.5" thickBot="1"/>
    <row r="176" spans="1:38">
      <c r="I176" s="290" t="s">
        <v>262</v>
      </c>
      <c r="J176" s="310">
        <f>C115</f>
        <v>3600</v>
      </c>
      <c r="K176" s="291"/>
      <c r="L176" s="291" t="s">
        <v>260</v>
      </c>
      <c r="M176" s="300">
        <f>J180+K180+L180+M180+N180+O180+O182+N182+M182+L182+K182+J182</f>
        <v>3599.9999999999995</v>
      </c>
      <c r="N176" s="291"/>
      <c r="O176" s="292"/>
    </row>
    <row r="177" spans="6:15">
      <c r="I177" s="293"/>
      <c r="J177" s="209"/>
      <c r="K177" s="209"/>
      <c r="L177" s="209"/>
      <c r="M177" s="209"/>
      <c r="N177" s="209"/>
      <c r="O177" s="294"/>
    </row>
    <row r="178" spans="6:15">
      <c r="I178" s="293"/>
      <c r="J178" s="209"/>
      <c r="K178" s="209"/>
      <c r="L178" s="209"/>
      <c r="M178" s="209"/>
      <c r="N178" s="209"/>
      <c r="O178" s="294"/>
    </row>
    <row r="179" spans="6:15">
      <c r="I179" s="293"/>
      <c r="J179" s="303" t="s">
        <v>223</v>
      </c>
      <c r="K179" s="303" t="s">
        <v>224</v>
      </c>
      <c r="L179" s="303" t="s">
        <v>225</v>
      </c>
      <c r="M179" s="303" t="s">
        <v>257</v>
      </c>
      <c r="N179" s="303" t="s">
        <v>227</v>
      </c>
      <c r="O179" s="299" t="s">
        <v>228</v>
      </c>
    </row>
    <row r="180" spans="6:15">
      <c r="I180" s="293"/>
      <c r="J180" s="306">
        <f t="shared" ref="J180:O180" si="57">$J$176/100*J184</f>
        <v>115.2</v>
      </c>
      <c r="K180" s="306">
        <f t="shared" si="57"/>
        <v>158.4</v>
      </c>
      <c r="L180" s="306">
        <f t="shared" si="57"/>
        <v>277.2</v>
      </c>
      <c r="M180" s="306">
        <f t="shared" si="57"/>
        <v>363.59999999999997</v>
      </c>
      <c r="N180" s="306">
        <f t="shared" si="57"/>
        <v>446.40000000000003</v>
      </c>
      <c r="O180" s="306">
        <f t="shared" si="57"/>
        <v>471.59999999999997</v>
      </c>
    </row>
    <row r="181" spans="6:15">
      <c r="F181" s="249"/>
      <c r="G181" s="249"/>
      <c r="H181" s="249"/>
      <c r="I181" s="293"/>
      <c r="J181" s="303" t="s">
        <v>229</v>
      </c>
      <c r="K181" s="303" t="s">
        <v>230</v>
      </c>
      <c r="L181" s="303" t="s">
        <v>231</v>
      </c>
      <c r="M181" s="303" t="s">
        <v>232</v>
      </c>
      <c r="N181" s="303" t="s">
        <v>258</v>
      </c>
      <c r="O181" s="299" t="s">
        <v>234</v>
      </c>
    </row>
    <row r="182" spans="6:15" ht="13.5" thickBot="1">
      <c r="F182" s="249"/>
      <c r="G182" s="249"/>
      <c r="H182" s="249"/>
      <c r="I182" s="295"/>
      <c r="J182" s="308">
        <f t="shared" ref="J182:O182" si="58">$J$176/100*J185</f>
        <v>511.2</v>
      </c>
      <c r="K182" s="308">
        <f t="shared" si="58"/>
        <v>435.59999999999997</v>
      </c>
      <c r="L182" s="308">
        <f t="shared" si="58"/>
        <v>331.2</v>
      </c>
      <c r="M182" s="308">
        <f t="shared" si="58"/>
        <v>248.4</v>
      </c>
      <c r="N182" s="308">
        <f t="shared" si="58"/>
        <v>133.20000000000002</v>
      </c>
      <c r="O182" s="308">
        <f t="shared" si="58"/>
        <v>108</v>
      </c>
    </row>
    <row r="183" spans="6:15">
      <c r="F183" s="249"/>
      <c r="G183" s="249"/>
      <c r="H183" s="249"/>
      <c r="I183" s="290"/>
      <c r="J183" s="291"/>
      <c r="K183" s="291"/>
      <c r="L183" s="291"/>
      <c r="M183" s="291"/>
      <c r="N183" s="291"/>
      <c r="O183" s="292"/>
    </row>
    <row r="184" spans="6:15">
      <c r="F184" s="249"/>
      <c r="G184" s="249"/>
      <c r="H184" s="249"/>
      <c r="I184" s="293"/>
      <c r="J184" s="312">
        <v>3.2</v>
      </c>
      <c r="K184" s="312">
        <v>4.4000000000000004</v>
      </c>
      <c r="L184" s="312">
        <v>7.7</v>
      </c>
      <c r="M184" s="312">
        <v>10.1</v>
      </c>
      <c r="N184" s="312">
        <v>12.4</v>
      </c>
      <c r="O184" s="313">
        <v>13.1</v>
      </c>
    </row>
    <row r="185" spans="6:15" ht="13.5" thickBot="1">
      <c r="F185" s="249"/>
      <c r="G185" s="249"/>
      <c r="H185" s="249"/>
      <c r="I185" s="296"/>
      <c r="J185" s="314">
        <v>14.2</v>
      </c>
      <c r="K185" s="314">
        <v>12.1</v>
      </c>
      <c r="L185" s="314">
        <v>9.1999999999999993</v>
      </c>
      <c r="M185" s="314">
        <v>6.9</v>
      </c>
      <c r="N185" s="314">
        <v>3.7</v>
      </c>
      <c r="O185" s="315">
        <v>3</v>
      </c>
    </row>
    <row r="186" spans="6:15" ht="42.75" customHeight="1">
      <c r="F186" s="249"/>
      <c r="G186" s="249"/>
      <c r="H186" s="249"/>
      <c r="I186" s="249"/>
      <c r="J186" s="249"/>
      <c r="K186" s="249"/>
      <c r="L186" s="249"/>
      <c r="M186" s="249"/>
      <c r="N186" s="249"/>
    </row>
    <row r="187" spans="6:15">
      <c r="F187" s="249"/>
      <c r="G187" s="249"/>
      <c r="H187" s="249"/>
      <c r="I187" s="249"/>
      <c r="J187" s="312"/>
      <c r="K187" s="249"/>
      <c r="L187" s="249"/>
      <c r="M187" s="249"/>
      <c r="N187" s="249"/>
    </row>
    <row r="188" spans="6:15"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</row>
    <row r="189" spans="6:15">
      <c r="F189" s="249"/>
      <c r="G189" s="249"/>
      <c r="H189" s="249"/>
      <c r="I189" s="316"/>
      <c r="J189" s="316"/>
      <c r="K189" s="316"/>
      <c r="L189" s="316"/>
      <c r="M189" s="316"/>
      <c r="N189" s="316"/>
      <c r="O189" s="249"/>
    </row>
    <row r="190" spans="6:15">
      <c r="F190" s="249"/>
      <c r="G190" s="249"/>
      <c r="H190" s="249"/>
      <c r="I190" s="317"/>
      <c r="J190" s="317"/>
      <c r="K190" s="317"/>
      <c r="L190" s="317"/>
      <c r="M190" s="317"/>
      <c r="N190" s="317"/>
      <c r="O190" s="249"/>
    </row>
    <row r="191" spans="6:15">
      <c r="F191" s="249"/>
      <c r="G191" s="249"/>
      <c r="H191" s="249"/>
      <c r="I191" s="316"/>
      <c r="J191" s="316"/>
      <c r="K191" s="316"/>
      <c r="L191" s="316"/>
      <c r="M191" s="316"/>
      <c r="N191" s="316"/>
      <c r="O191" s="249"/>
    </row>
    <row r="192" spans="6:15">
      <c r="F192" s="249"/>
      <c r="G192" s="249"/>
      <c r="H192" s="249"/>
      <c r="I192" s="317"/>
      <c r="J192" s="317"/>
      <c r="K192" s="317"/>
      <c r="L192" s="317"/>
      <c r="M192" s="317"/>
      <c r="N192" s="317"/>
      <c r="O192" s="249"/>
    </row>
    <row r="193" spans="7:15">
      <c r="G193" s="249"/>
      <c r="H193" s="249"/>
      <c r="I193" s="249"/>
      <c r="J193" s="249"/>
      <c r="K193" s="249"/>
      <c r="L193" s="249"/>
      <c r="M193" s="249"/>
      <c r="N193" s="249"/>
      <c r="O193" s="249"/>
    </row>
    <row r="194" spans="7:15">
      <c r="G194" s="249"/>
      <c r="H194" s="249"/>
      <c r="I194" s="312"/>
      <c r="J194" s="312"/>
      <c r="K194" s="312"/>
      <c r="L194" s="312"/>
      <c r="M194" s="312"/>
      <c r="N194" s="312"/>
      <c r="O194" s="249"/>
    </row>
    <row r="195" spans="7:15">
      <c r="I195" s="311"/>
      <c r="J195" s="311"/>
      <c r="K195" s="311"/>
      <c r="L195" s="311"/>
      <c r="M195" s="311"/>
      <c r="N195" s="311"/>
    </row>
  </sheetData>
  <mergeCells count="35">
    <mergeCell ref="A115:B115"/>
    <mergeCell ref="J35:J36"/>
    <mergeCell ref="K35:V36"/>
    <mergeCell ref="I94:J94"/>
    <mergeCell ref="J68:V68"/>
    <mergeCell ref="B88:C88"/>
    <mergeCell ref="B109:C109"/>
    <mergeCell ref="I95:J95"/>
    <mergeCell ref="J99:V99"/>
    <mergeCell ref="B105:C105"/>
    <mergeCell ref="B106:C106"/>
    <mergeCell ref="B107:C107"/>
    <mergeCell ref="B108:C108"/>
    <mergeCell ref="Z37:AL37"/>
    <mergeCell ref="I63:J64"/>
    <mergeCell ref="Z68:AL68"/>
    <mergeCell ref="B72:C72"/>
    <mergeCell ref="B80:C80"/>
    <mergeCell ref="Z99:AL99"/>
    <mergeCell ref="B101:C101"/>
    <mergeCell ref="B102:C102"/>
    <mergeCell ref="D103:E103"/>
    <mergeCell ref="B104:C104"/>
    <mergeCell ref="I160:J160"/>
    <mergeCell ref="A116:B116"/>
    <mergeCell ref="I126:J126"/>
    <mergeCell ref="Y126:Z126"/>
    <mergeCell ref="I127:J127"/>
    <mergeCell ref="Y127:Z127"/>
    <mergeCell ref="W128:X128"/>
    <mergeCell ref="AM128:AN128"/>
    <mergeCell ref="W129:X129"/>
    <mergeCell ref="AM129:AN129"/>
    <mergeCell ref="J133:V133"/>
    <mergeCell ref="I159:J159"/>
  </mergeCells>
  <conditionalFormatting sqref="B13:F13 A17:F17">
    <cfRule type="expression" dxfId="0" priority="1" stopIfTrue="1">
      <formula>IF(#REF!="Valori personalizzati - campo attivo",1,0)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Simulazione 8.4</vt:lpstr>
      <vt:lpstr>Finanziamento</vt:lpstr>
      <vt:lpstr>Calcoli</vt:lpstr>
      <vt:lpstr>Autoconsumo</vt:lpstr>
      <vt:lpstr>'Simulazione 8.4'!Area_stampa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2012-11-05T16:03:06Z</dcterms:modified>
</cp:coreProperties>
</file>