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335" windowHeight="7650" activeTab="0"/>
  </bookViews>
  <sheets>
    <sheet name="Rendimento impianto" sheetId="1" r:id="rId1"/>
    <sheet name="Calcolo contributo GSE" sheetId="2" r:id="rId2"/>
  </sheets>
  <definedNames>
    <definedName name="_xlnm.Print_Area" localSheetId="1">'Calcolo contributo GSE'!$A$1:$O$37</definedName>
  </definedNames>
  <calcPr fullCalcOnLoad="1"/>
</workbook>
</file>

<file path=xl/comments1.xml><?xml version="1.0" encoding="utf-8"?>
<comments xmlns="http://schemas.openxmlformats.org/spreadsheetml/2006/main">
  <authors>
    <author>Alberto</author>
  </authors>
  <commentList>
    <comment ref="I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nella colonna potete inserire eventuali costi imprevisti</t>
        </r>
      </text>
    </comment>
    <comment ref="D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l'incentivo dura 20 anni</t>
        </r>
      </text>
    </comment>
    <comment ref="F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al nord il GSE rimborsa circa 0,14euro/KWh immesso in rete fino ad un massimo del numero di kWh prelevati da Enel. Il surplus va a riserva a credito. Per maggiori dettagli visita la scheda "Calcolo contributo GSE".</t>
        </r>
      </text>
    </comment>
    <comment ref="J29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Rendimento che non tiene conto dell'inflazione, (come se fosse il rendimento di una normale obbligazione che ti propongono in banca).</t>
        </r>
      </text>
    </comment>
    <comment ref="M29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Rendimento che non tiene conto dell'inflazione, (come se fosse il rendimento di una normale obbligazione che ti propongono in banca).</t>
        </r>
      </text>
    </comment>
    <comment ref="F9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E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Energia che risparmio (dato che non la pago all'enel) perché autoconsumata e non pagata. Si considera autoconsumo pari al 25% dell'energia totale consumata.</t>
        </r>
      </text>
    </comment>
    <comment ref="F2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KWh annui generabili da 1Kw di potenza installata.</t>
        </r>
      </text>
    </comment>
    <comment ref="L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Indica dopo quanti anni si ripaga l'investimento.</t>
        </r>
      </text>
    </comment>
    <comment ref="F10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1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2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3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4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5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6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8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19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0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1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2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3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4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5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6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  <comment ref="F28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Ipotizzando un autoconsumo pari al 25%, i kWh prelevati dalla rete (e successivamente immessi) saranno il 75% di quelli consumati annualmente che moltiplicati x 0,14 euro, ci indicano la cifra rimborsata.</t>
        </r>
      </text>
    </comment>
  </commentList>
</comments>
</file>

<file path=xl/comments2.xml><?xml version="1.0" encoding="utf-8"?>
<comments xmlns="http://schemas.openxmlformats.org/spreadsheetml/2006/main">
  <authors>
    <author>Alberto</author>
    <author/>
  </authors>
  <commentList>
    <comment ref="B27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Il prezzo indicato è una stima (basata sul prezzo 03/2009) poiché dipende dal prezzo zonale (area nord) di quel giorno e a quell'ora in cui l'energia verrà immessa in rete.</t>
        </r>
      </text>
    </comment>
    <comment ref="I8" authorId="1">
      <text>
        <r>
          <rPr>
            <sz val="10"/>
            <rFont val="Arial"/>
            <family val="2"/>
          </rPr>
          <t>Energia Consumata</t>
        </r>
      </text>
    </comment>
    <comment ref="L16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Energia Prelevata</t>
        </r>
      </text>
    </comment>
    <comment ref="L19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Energia Immessa</t>
        </r>
      </text>
    </comment>
    <comment ref="H16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Energia autoconsumata</t>
        </r>
      </text>
    </comment>
    <comment ref="F18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Energia prodotta</t>
        </r>
      </text>
    </comment>
    <comment ref="B28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Componente servizi</t>
        </r>
      </text>
    </comment>
    <comment ref="B26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E' dato dal prezzo al Kwh che paghi relativamente alla quota energia, "comprese le accise e l'IVA" delibera 184/08 AEEG</t>
        </r>
      </text>
    </comment>
    <comment ref="B34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Se il valore dell'energia immessa supera quello dell'energia prelevata, si forma un credito in euro utilizzabile gli anni successivi.</t>
        </r>
      </text>
    </comment>
    <comment ref="B35" authorId="0">
      <text>
        <r>
          <rPr>
            <b/>
            <sz val="9"/>
            <rFont val="Tahoma"/>
            <family val="2"/>
          </rPr>
          <t>Alberto:</t>
        </r>
        <r>
          <rPr>
            <sz val="9"/>
            <rFont val="Tahoma"/>
            <family val="2"/>
          </rPr>
          <t xml:space="preserve">
Ovvero il rimborso che ottieni per l'energia immessa in rete.</t>
        </r>
      </text>
    </comment>
    <comment ref="B32" authorId="0">
      <text>
        <r>
          <rPr>
            <b/>
            <sz val="9"/>
            <rFont val="Tahoma"/>
            <family val="2"/>
          </rPr>
          <t>Alberto:
PERCHE' MOLTIPLICO PER 1,08?</t>
        </r>
        <r>
          <rPr>
            <sz val="9"/>
            <rFont val="Tahoma"/>
            <family val="2"/>
          </rPr>
          <t xml:space="preserve">
"L’energia elettrica immessa èpari all’effettivo immesso in rete (rilevato su AdM) moltiplicato per un fattore percentuale per impianti connessi in BT (k1=1.108) e in MT (k2=1.051) –perdite di trasformazione BT/MT e MT/AT".   Che si traduce in un valore pari a 1,08.</t>
        </r>
      </text>
    </comment>
  </commentList>
</comments>
</file>

<file path=xl/sharedStrings.xml><?xml version="1.0" encoding="utf-8"?>
<sst xmlns="http://schemas.openxmlformats.org/spreadsheetml/2006/main" count="71" uniqueCount="63">
  <si>
    <t>KWh annui</t>
  </si>
  <si>
    <t>Anni</t>
  </si>
  <si>
    <t>Variabili Dati impianto</t>
  </si>
  <si>
    <t>Inflazione generale:</t>
  </si>
  <si>
    <t>Inflazione energia:</t>
  </si>
  <si>
    <t>Kwh/anno per KwP:</t>
  </si>
  <si>
    <t>Costi una tantum:</t>
  </si>
  <si>
    <t>Canone affitto cont:</t>
  </si>
  <si>
    <t>Perdita efficienza annua:</t>
  </si>
  <si>
    <t>Una tantum</t>
  </si>
  <si>
    <t>Considerando risparmio bolletta</t>
  </si>
  <si>
    <t>TOT</t>
  </si>
  <si>
    <t>Flussi netti</t>
  </si>
  <si>
    <t>Coeff</t>
  </si>
  <si>
    <t>Sconto</t>
  </si>
  <si>
    <t xml:space="preserve">APPROCCIO FLUSSI DI CASSA </t>
  </si>
  <si>
    <t>Costo dell'impianto:</t>
  </si>
  <si>
    <t>&lt;---&gt;</t>
  </si>
  <si>
    <t>Bolletta Enel:</t>
  </si>
  <si>
    <t>BEP</t>
  </si>
  <si>
    <t>(tasso annuo di rendimento)</t>
  </si>
  <si>
    <t>Flussi attualizzati</t>
  </si>
  <si>
    <t xml:space="preserve">a </t>
  </si>
  <si>
    <t>La bolletta annua dell'Enel passerà da</t>
  </si>
  <si>
    <t>Risparmio da</t>
  </si>
  <si>
    <t>Costo Medio Energia + Tasse €/kw</t>
  </si>
  <si>
    <t>Costo Medio Energia + Tasse €/kw:</t>
  </si>
  <si>
    <t>Costo per Energia Prelevata</t>
  </si>
  <si>
    <t>(CS = MIN(OE; CEI) + CUS * Energia Scambiata)</t>
  </si>
  <si>
    <t>CS (Contributo in Conto Scambio) €</t>
  </si>
  <si>
    <t>Credito</t>
  </si>
  <si>
    <t>(Minimo tra Energia Immessa e Energia Prelevata)</t>
  </si>
  <si>
    <t>OE (Onere Energia Prelevata) €</t>
  </si>
  <si>
    <t>CEI (Controvalore Energia Immessa) €</t>
  </si>
  <si>
    <t>Energia Immessa</t>
  </si>
  <si>
    <t>Energia Autoconsumata</t>
  </si>
  <si>
    <t>Energia Prelevata</t>
  </si>
  <si>
    <t>Consumi Totali</t>
  </si>
  <si>
    <t>Produzione Stimata</t>
  </si>
  <si>
    <t>KWh</t>
  </si>
  <si>
    <t>Onere Servizi Energia Fisso</t>
  </si>
  <si>
    <t>Costo energia al netto rimborso</t>
  </si>
  <si>
    <t>ENEL</t>
  </si>
  <si>
    <t>Prezzo Medio Energia Prelevata €/kwh</t>
  </si>
  <si>
    <t>Prezzo Medio Energia Immessa €/kwh</t>
  </si>
  <si>
    <t>CUS €/kwh</t>
  </si>
  <si>
    <t>Energia Scambiata kwh</t>
  </si>
  <si>
    <t>energia consumata</t>
  </si>
  <si>
    <t>energia prelevata</t>
  </si>
  <si>
    <t>energia immessa</t>
  </si>
  <si>
    <t>energia prodotta</t>
  </si>
  <si>
    <t>energia autoconsumata</t>
  </si>
  <si>
    <t>Potenza impianto kWp</t>
  </si>
  <si>
    <t>Kwh annui consumati:</t>
  </si>
  <si>
    <t>onnicomprensiva/KWh:</t>
  </si>
  <si>
    <t>Incentivo onnicomprensiva</t>
  </si>
  <si>
    <t>detrazione 55%</t>
  </si>
  <si>
    <t>detrazione anno</t>
  </si>
  <si>
    <t>% AUTOCONSUMO</t>
  </si>
  <si>
    <t>% ONNICOMPRENSIVA</t>
  </si>
  <si>
    <t xml:space="preserve">autoconsumo </t>
  </si>
  <si>
    <t>SSP</t>
  </si>
  <si>
    <t>SCONT. ALL'INFLAZIONE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</si>
</sst>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0.0%"/>
    <numFmt numFmtId="166" formatCode="&quot;€&quot;\ #,##0;[Red]&quot;€&quot;\ #,##0"/>
    <numFmt numFmtId="167" formatCode="0_ ;[Red]\-0\ "/>
    <numFmt numFmtId="168" formatCode="&quot;€&quot;\ #,##0.0"/>
    <numFmt numFmtId="169" formatCode="[$-410]dddd\ d\ mmmm\ yyyy"/>
    <numFmt numFmtId="170" formatCode="&quot;€&quot;\ #,##0.00"/>
    <numFmt numFmtId="171" formatCode="0.000"/>
    <numFmt numFmtId="172" formatCode="&quot;€&quot;\ #,##0.000"/>
    <numFmt numFmtId="173" formatCode="mmm\-yyyy"/>
    <numFmt numFmtId="174" formatCode="&quot;€&quot;\ #,##0.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vertAlign val="subscript"/>
      <sz val="16"/>
      <color indexed="8"/>
      <name val="Gill Sans Ultra Bold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23"/>
      <name val="Arial"/>
      <family val="2"/>
    </font>
    <font>
      <b/>
      <sz val="12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1"/>
      <color indexed="6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vertAlign val="subscript"/>
      <sz val="16"/>
      <color theme="1"/>
      <name val="Gill Sans Ultra Bold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 tint="0.49998000264167786"/>
      <name val="Arial"/>
      <family val="2"/>
    </font>
    <font>
      <b/>
      <sz val="12"/>
      <color rgb="FFC00000"/>
      <name val="Calibri"/>
      <family val="2"/>
    </font>
    <font>
      <sz val="12"/>
      <color rgb="FFC00000"/>
      <name val="Calibri"/>
      <family val="2"/>
    </font>
    <font>
      <b/>
      <sz val="12"/>
      <color rgb="FFFFFF00"/>
      <name val="Calibri"/>
      <family val="2"/>
    </font>
    <font>
      <sz val="12"/>
      <color rgb="FFFFFF00"/>
      <name val="Calibri"/>
      <family val="2"/>
    </font>
    <font>
      <b/>
      <sz val="11"/>
      <color theme="5" tint="-0.24997000396251678"/>
      <name val="Calibri"/>
      <family val="2"/>
    </font>
    <font>
      <sz val="11"/>
      <color rgb="FFFFFF00"/>
      <name val="Calibri"/>
      <family val="2"/>
    </font>
    <font>
      <b/>
      <sz val="11"/>
      <color rgb="FFFFFF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58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58" fillId="0" borderId="0" xfId="0" applyFont="1" applyAlignment="1">
      <alignment horizontal="left"/>
    </xf>
    <xf numFmtId="164" fontId="59" fillId="0" borderId="0" xfId="0" applyNumberFormat="1" applyFon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 indent="2"/>
    </xf>
    <xf numFmtId="42" fontId="55" fillId="0" borderId="0" xfId="0" applyNumberFormat="1" applyFont="1" applyAlignment="1">
      <alignment/>
    </xf>
    <xf numFmtId="42" fontId="55" fillId="0" borderId="0" xfId="0" applyNumberFormat="1" applyFont="1" applyAlignment="1">
      <alignment/>
    </xf>
    <xf numFmtId="164" fontId="55" fillId="0" borderId="0" xfId="0" applyNumberFormat="1" applyFont="1" applyAlignment="1">
      <alignment horizontal="left"/>
    </xf>
    <xf numFmtId="0" fontId="4" fillId="0" borderId="0" xfId="46">
      <alignment/>
      <protection/>
    </xf>
    <xf numFmtId="0" fontId="5" fillId="33" borderId="0" xfId="46" applyFont="1" applyFill="1">
      <alignment/>
      <protection/>
    </xf>
    <xf numFmtId="0" fontId="4" fillId="34" borderId="0" xfId="46" applyFill="1">
      <alignment/>
      <protection/>
    </xf>
    <xf numFmtId="0" fontId="5" fillId="35" borderId="0" xfId="46" applyFont="1" applyFill="1">
      <alignment/>
      <protection/>
    </xf>
    <xf numFmtId="0" fontId="63" fillId="0" borderId="0" xfId="46" applyFont="1">
      <alignment/>
      <protection/>
    </xf>
    <xf numFmtId="0" fontId="23" fillId="0" borderId="0" xfId="46" applyFont="1">
      <alignment/>
      <protection/>
    </xf>
    <xf numFmtId="171" fontId="23" fillId="0" borderId="0" xfId="46" applyNumberFormat="1" applyFont="1">
      <alignment/>
      <protection/>
    </xf>
    <xf numFmtId="0" fontId="64" fillId="0" borderId="0" xfId="46" applyFont="1">
      <alignment/>
      <protection/>
    </xf>
    <xf numFmtId="164" fontId="64" fillId="0" borderId="0" xfId="46" applyNumberFormat="1" applyFont="1">
      <alignment/>
      <protection/>
    </xf>
    <xf numFmtId="0" fontId="65" fillId="0" borderId="0" xfId="46" applyFont="1">
      <alignment/>
      <protection/>
    </xf>
    <xf numFmtId="1" fontId="64" fillId="0" borderId="0" xfId="46" applyNumberFormat="1" applyFont="1">
      <alignment/>
      <protection/>
    </xf>
    <xf numFmtId="0" fontId="66" fillId="36" borderId="0" xfId="46" applyFont="1" applyFill="1">
      <alignment/>
      <protection/>
    </xf>
    <xf numFmtId="1" fontId="66" fillId="36" borderId="0" xfId="46" applyNumberFormat="1" applyFont="1" applyFill="1">
      <alignment/>
      <protection/>
    </xf>
    <xf numFmtId="0" fontId="67" fillId="36" borderId="0" xfId="46" applyFont="1" applyFill="1">
      <alignment/>
      <protection/>
    </xf>
    <xf numFmtId="0" fontId="23" fillId="0" borderId="0" xfId="46" applyNumberFormat="1" applyFont="1">
      <alignment/>
      <protection/>
    </xf>
    <xf numFmtId="0" fontId="33" fillId="0" borderId="0" xfId="46" applyFont="1">
      <alignment/>
      <protection/>
    </xf>
    <xf numFmtId="164" fontId="23" fillId="0" borderId="0" xfId="46" applyNumberFormat="1" applyFont="1">
      <alignment/>
      <protection/>
    </xf>
    <xf numFmtId="164" fontId="33" fillId="0" borderId="0" xfId="46" applyNumberFormat="1" applyFont="1">
      <alignment/>
      <protection/>
    </xf>
    <xf numFmtId="168" fontId="66" fillId="36" borderId="0" xfId="46" applyNumberFormat="1" applyFont="1" applyFill="1">
      <alignment/>
      <protection/>
    </xf>
    <xf numFmtId="0" fontId="63" fillId="0" borderId="0" xfId="46" applyFont="1" applyProtection="1">
      <alignment/>
      <protection/>
    </xf>
    <xf numFmtId="0" fontId="63" fillId="0" borderId="0" xfId="46" applyNumberFormat="1" applyFont="1" applyProtection="1">
      <alignment/>
      <protection/>
    </xf>
    <xf numFmtId="0" fontId="34" fillId="0" borderId="0" xfId="46" applyFont="1" applyAlignment="1">
      <alignment horizontal="left"/>
      <protection/>
    </xf>
    <xf numFmtId="0" fontId="4" fillId="0" borderId="0" xfId="46" applyFill="1">
      <alignment/>
      <protection/>
    </xf>
    <xf numFmtId="0" fontId="68" fillId="0" borderId="10" xfId="0" applyFont="1" applyBorder="1" applyAlignment="1">
      <alignment/>
    </xf>
    <xf numFmtId="164" fontId="68" fillId="0" borderId="11" xfId="0" applyNumberFormat="1" applyFont="1" applyBorder="1" applyAlignment="1">
      <alignment/>
    </xf>
    <xf numFmtId="0" fontId="68" fillId="0" borderId="11" xfId="0" applyFont="1" applyBorder="1" applyAlignment="1">
      <alignment/>
    </xf>
    <xf numFmtId="165" fontId="68" fillId="0" borderId="11" xfId="0" applyNumberFormat="1" applyFont="1" applyBorder="1" applyAlignment="1">
      <alignment/>
    </xf>
    <xf numFmtId="0" fontId="55" fillId="0" borderId="12" xfId="0" applyFont="1" applyBorder="1" applyAlignment="1">
      <alignment horizontal="left" indent="2"/>
    </xf>
    <xf numFmtId="0" fontId="0" fillId="0" borderId="13" xfId="0" applyBorder="1" applyAlignment="1">
      <alignment/>
    </xf>
    <xf numFmtId="0" fontId="55" fillId="0" borderId="14" xfId="0" applyFont="1" applyBorder="1" applyAlignment="1">
      <alignment horizontal="left" indent="2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5" fillId="0" borderId="14" xfId="0" applyFont="1" applyBorder="1" applyAlignment="1">
      <alignment/>
    </xf>
    <xf numFmtId="0" fontId="0" fillId="0" borderId="11" xfId="0" applyBorder="1" applyAlignment="1">
      <alignment/>
    </xf>
    <xf numFmtId="0" fontId="55" fillId="0" borderId="12" xfId="0" applyFont="1" applyBorder="1" applyAlignment="1">
      <alignment/>
    </xf>
    <xf numFmtId="0" fontId="0" fillId="0" borderId="13" xfId="0" applyBorder="1" applyAlignment="1">
      <alignment/>
    </xf>
    <xf numFmtId="0" fontId="55" fillId="0" borderId="13" xfId="0" applyFont="1" applyBorder="1" applyAlignment="1">
      <alignment/>
    </xf>
    <xf numFmtId="0" fontId="55" fillId="0" borderId="12" xfId="0" applyFont="1" applyBorder="1" applyAlignment="1">
      <alignment horizontal="left"/>
    </xf>
    <xf numFmtId="0" fontId="55" fillId="0" borderId="13" xfId="0" applyFont="1" applyBorder="1" applyAlignment="1">
      <alignment horizontal="right"/>
    </xf>
    <xf numFmtId="165" fontId="68" fillId="0" borderId="13" xfId="0" applyNumberFormat="1" applyFont="1" applyBorder="1" applyAlignment="1">
      <alignment/>
    </xf>
    <xf numFmtId="0" fontId="55" fillId="0" borderId="13" xfId="0" applyFont="1" applyBorder="1" applyAlignment="1">
      <alignment horizontal="left" indent="2"/>
    </xf>
    <xf numFmtId="170" fontId="68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0" fontId="55" fillId="0" borderId="14" xfId="0" applyFont="1" applyBorder="1" applyAlignment="1">
      <alignment horizontal="left"/>
    </xf>
    <xf numFmtId="0" fontId="55" fillId="0" borderId="0" xfId="0" applyFont="1" applyBorder="1" applyAlignment="1">
      <alignment horizontal="right"/>
    </xf>
    <xf numFmtId="164" fontId="68" fillId="0" borderId="0" xfId="0" applyNumberFormat="1" applyFont="1" applyBorder="1" applyAlignment="1">
      <alignment/>
    </xf>
    <xf numFmtId="174" fontId="68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9" fillId="36" borderId="0" xfId="0" applyFont="1" applyFill="1" applyBorder="1" applyAlignment="1">
      <alignment/>
    </xf>
    <xf numFmtId="0" fontId="70" fillId="36" borderId="0" xfId="0" applyFont="1" applyFill="1" applyBorder="1" applyAlignment="1">
      <alignment horizontal="left" indent="2"/>
    </xf>
    <xf numFmtId="0" fontId="0" fillId="0" borderId="17" xfId="0" applyBorder="1" applyAlignment="1">
      <alignment/>
    </xf>
    <xf numFmtId="0" fontId="55" fillId="0" borderId="14" xfId="0" applyFont="1" applyBorder="1" applyAlignment="1">
      <alignment horizontal="left"/>
    </xf>
    <xf numFmtId="0" fontId="38" fillId="37" borderId="14" xfId="0" applyFont="1" applyFill="1" applyBorder="1" applyAlignment="1">
      <alignment/>
    </xf>
    <xf numFmtId="14" fontId="38" fillId="37" borderId="0" xfId="0" applyNumberFormat="1" applyFont="1" applyFill="1" applyBorder="1" applyAlignment="1">
      <alignment/>
    </xf>
    <xf numFmtId="0" fontId="38" fillId="37" borderId="0" xfId="0" applyFont="1" applyFill="1" applyBorder="1" applyAlignment="1">
      <alignment/>
    </xf>
    <xf numFmtId="0" fontId="39" fillId="37" borderId="0" xfId="0" applyFont="1" applyFill="1" applyBorder="1" applyAlignment="1">
      <alignment/>
    </xf>
    <xf numFmtId="0" fontId="38" fillId="37" borderId="0" xfId="0" applyFont="1" applyFill="1" applyBorder="1" applyAlignment="1">
      <alignment horizontal="center"/>
    </xf>
    <xf numFmtId="164" fontId="38" fillId="37" borderId="0" xfId="0" applyNumberFormat="1" applyFont="1" applyFill="1" applyBorder="1" applyAlignment="1">
      <alignment/>
    </xf>
    <xf numFmtId="166" fontId="38" fillId="37" borderId="0" xfId="0" applyNumberFormat="1" applyFont="1" applyFill="1" applyBorder="1" applyAlignment="1">
      <alignment/>
    </xf>
    <xf numFmtId="164" fontId="33" fillId="37" borderId="0" xfId="0" applyNumberFormat="1" applyFont="1" applyFill="1" applyBorder="1" applyAlignment="1">
      <alignment/>
    </xf>
    <xf numFmtId="167" fontId="38" fillId="37" borderId="0" xfId="0" applyNumberFormat="1" applyFont="1" applyFill="1" applyBorder="1" applyAlignment="1">
      <alignment horizontal="center"/>
    </xf>
    <xf numFmtId="0" fontId="39" fillId="37" borderId="11" xfId="0" applyFont="1" applyFill="1" applyBorder="1" applyAlignment="1">
      <alignment/>
    </xf>
    <xf numFmtId="167" fontId="40" fillId="37" borderId="18" xfId="0" applyNumberFormat="1" applyFont="1" applyFill="1" applyBorder="1" applyAlignment="1">
      <alignment horizontal="center"/>
    </xf>
    <xf numFmtId="2" fontId="38" fillId="37" borderId="11" xfId="0" applyNumberFormat="1" applyFont="1" applyFill="1" applyBorder="1" applyAlignment="1">
      <alignment/>
    </xf>
    <xf numFmtId="1" fontId="38" fillId="37" borderId="0" xfId="0" applyNumberFormat="1" applyFont="1" applyFill="1" applyBorder="1" applyAlignment="1">
      <alignment/>
    </xf>
    <xf numFmtId="167" fontId="40" fillId="37" borderId="19" xfId="0" applyNumberFormat="1" applyFont="1" applyFill="1" applyBorder="1" applyAlignment="1">
      <alignment horizontal="center"/>
    </xf>
    <xf numFmtId="167" fontId="40" fillId="37" borderId="20" xfId="0" applyNumberFormat="1" applyFont="1" applyFill="1" applyBorder="1" applyAlignment="1">
      <alignment horizontal="center"/>
    </xf>
    <xf numFmtId="0" fontId="38" fillId="37" borderId="14" xfId="58" applyFont="1" applyFill="1" applyBorder="1" applyAlignment="1">
      <alignment/>
    </xf>
    <xf numFmtId="14" fontId="38" fillId="37" borderId="0" xfId="58" applyNumberFormat="1" applyFont="1" applyFill="1" applyBorder="1" applyAlignment="1">
      <alignment/>
    </xf>
    <xf numFmtId="1" fontId="38" fillId="37" borderId="0" xfId="58" applyNumberFormat="1" applyFont="1" applyFill="1" applyBorder="1" applyAlignment="1">
      <alignment/>
    </xf>
    <xf numFmtId="164" fontId="38" fillId="37" borderId="0" xfId="58" applyNumberFormat="1" applyFont="1" applyFill="1" applyBorder="1" applyAlignment="1">
      <alignment/>
    </xf>
    <xf numFmtId="0" fontId="38" fillId="37" borderId="0" xfId="58" applyFont="1" applyFill="1" applyBorder="1" applyAlignment="1">
      <alignment/>
    </xf>
    <xf numFmtId="167" fontId="38" fillId="37" borderId="0" xfId="58" applyNumberFormat="1" applyFont="1" applyFill="1" applyBorder="1" applyAlignment="1">
      <alignment horizontal="center"/>
    </xf>
    <xf numFmtId="2" fontId="38" fillId="37" borderId="11" xfId="58" applyNumberFormat="1" applyFont="1" applyFill="1" applyBorder="1" applyAlignment="1">
      <alignment/>
    </xf>
    <xf numFmtId="0" fontId="38" fillId="37" borderId="14" xfId="45" applyFont="1" applyFill="1" applyBorder="1" applyAlignment="1">
      <alignment/>
    </xf>
    <xf numFmtId="14" fontId="38" fillId="37" borderId="0" xfId="45" applyNumberFormat="1" applyFont="1" applyFill="1" applyBorder="1" applyAlignment="1">
      <alignment/>
    </xf>
    <xf numFmtId="1" fontId="38" fillId="37" borderId="0" xfId="45" applyNumberFormat="1" applyFont="1" applyFill="1" applyBorder="1" applyAlignment="1">
      <alignment/>
    </xf>
    <xf numFmtId="164" fontId="38" fillId="37" borderId="0" xfId="45" applyNumberFormat="1" applyFont="1" applyFill="1" applyBorder="1" applyAlignment="1">
      <alignment/>
    </xf>
    <xf numFmtId="0" fontId="38" fillId="37" borderId="0" xfId="45" applyFont="1" applyFill="1" applyBorder="1" applyAlignment="1">
      <alignment/>
    </xf>
    <xf numFmtId="167" fontId="38" fillId="37" borderId="0" xfId="45" applyNumberFormat="1" applyFont="1" applyFill="1" applyBorder="1" applyAlignment="1">
      <alignment horizontal="center"/>
    </xf>
    <xf numFmtId="2" fontId="38" fillId="37" borderId="11" xfId="45" applyNumberFormat="1" applyFont="1" applyFill="1" applyBorder="1" applyAlignment="1">
      <alignment/>
    </xf>
    <xf numFmtId="0" fontId="33" fillId="37" borderId="17" xfId="0" applyFont="1" applyFill="1" applyBorder="1" applyAlignment="1">
      <alignment/>
    </xf>
    <xf numFmtId="0" fontId="23" fillId="37" borderId="15" xfId="0" applyFont="1" applyFill="1" applyBorder="1" applyAlignment="1">
      <alignment/>
    </xf>
    <xf numFmtId="3" fontId="33" fillId="37" borderId="15" xfId="0" applyNumberFormat="1" applyFont="1" applyFill="1" applyBorder="1" applyAlignment="1">
      <alignment/>
    </xf>
    <xf numFmtId="164" fontId="33" fillId="37" borderId="15" xfId="0" applyNumberFormat="1" applyFont="1" applyFill="1" applyBorder="1" applyAlignment="1">
      <alignment/>
    </xf>
    <xf numFmtId="10" fontId="41" fillId="37" borderId="15" xfId="0" applyNumberFormat="1" applyFont="1" applyFill="1" applyBorder="1" applyAlignment="1">
      <alignment/>
    </xf>
    <xf numFmtId="10" fontId="33" fillId="37" borderId="15" xfId="0" applyNumberFormat="1" applyFont="1" applyFill="1" applyBorder="1" applyAlignment="1">
      <alignment/>
    </xf>
    <xf numFmtId="0" fontId="38" fillId="37" borderId="15" xfId="0" applyFont="1" applyFill="1" applyBorder="1" applyAlignment="1">
      <alignment/>
    </xf>
    <xf numFmtId="0" fontId="38" fillId="37" borderId="16" xfId="0" applyFont="1" applyFill="1" applyBorder="1" applyAlignment="1">
      <alignment/>
    </xf>
    <xf numFmtId="0" fontId="55" fillId="37" borderId="13" xfId="0" applyFont="1" applyFill="1" applyBorder="1" applyAlignment="1">
      <alignment/>
    </xf>
    <xf numFmtId="0" fontId="55" fillId="37" borderId="13" xfId="0" applyFont="1" applyFill="1" applyBorder="1" applyAlignment="1">
      <alignment/>
    </xf>
    <xf numFmtId="0" fontId="55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55" fillId="37" borderId="13" xfId="0" applyFont="1" applyFill="1" applyBorder="1" applyAlignment="1">
      <alignment/>
    </xf>
    <xf numFmtId="0" fontId="0" fillId="37" borderId="13" xfId="0" applyFill="1" applyBorder="1" applyAlignment="1">
      <alignment/>
    </xf>
    <xf numFmtId="0" fontId="55" fillId="38" borderId="15" xfId="0" applyFont="1" applyFill="1" applyBorder="1" applyAlignment="1">
      <alignment horizontal="center"/>
    </xf>
    <xf numFmtId="0" fontId="55" fillId="39" borderId="15" xfId="0" applyFont="1" applyFill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55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2571750</xdr:colOff>
      <xdr:row>10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57150" y="0"/>
          <a:ext cx="2514600" cy="2105025"/>
        </a:xfrm>
        <a:prstGeom prst="su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723900</xdr:colOff>
      <xdr:row>0</xdr:row>
      <xdr:rowOff>0</xdr:rowOff>
    </xdr:from>
    <xdr:to>
      <xdr:col>10</xdr:col>
      <xdr:colOff>66675</xdr:colOff>
      <xdr:row>5</xdr:row>
      <xdr:rowOff>19050</xdr:rowOff>
    </xdr:to>
    <xdr:sp>
      <xdr:nvSpPr>
        <xdr:cNvPr id="2" name="AutoShape 9"/>
        <xdr:cNvSpPr>
          <a:spLocks/>
        </xdr:cNvSpPr>
      </xdr:nvSpPr>
      <xdr:spPr>
        <a:xfrm>
          <a:off x="7629525" y="0"/>
          <a:ext cx="2809875" cy="828675"/>
        </a:xfrm>
        <a:prstGeom prst="triangle">
          <a:avLst/>
        </a:prstGeom>
        <a:solidFill>
          <a:srgbClr val="C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990600</xdr:colOff>
      <xdr:row>1</xdr:row>
      <xdr:rowOff>95250</xdr:rowOff>
    </xdr:from>
    <xdr:to>
      <xdr:col>2</xdr:col>
      <xdr:colOff>447675</xdr:colOff>
      <xdr:row>6</xdr:row>
      <xdr:rowOff>76200</xdr:rowOff>
    </xdr:to>
    <xdr:sp>
      <xdr:nvSpPr>
        <xdr:cNvPr id="3" name="Freeform 12"/>
        <xdr:cNvSpPr>
          <a:spLocks/>
        </xdr:cNvSpPr>
      </xdr:nvSpPr>
      <xdr:spPr>
        <a:xfrm>
          <a:off x="990600" y="257175"/>
          <a:ext cx="3076575" cy="790575"/>
        </a:xfrm>
        <a:custGeom>
          <a:pathLst>
            <a:path h="526" w="884">
              <a:moveTo>
                <a:pt x="794" y="337"/>
              </a:moveTo>
              <a:lnTo>
                <a:pt x="800" y="349"/>
              </a:lnTo>
              <a:lnTo>
                <a:pt x="806" y="361"/>
              </a:lnTo>
              <a:lnTo>
                <a:pt x="812" y="373"/>
              </a:lnTo>
              <a:lnTo>
                <a:pt x="812" y="390"/>
              </a:lnTo>
              <a:lnTo>
                <a:pt x="800" y="426"/>
              </a:lnTo>
              <a:lnTo>
                <a:pt x="776" y="461"/>
              </a:lnTo>
              <a:lnTo>
                <a:pt x="740" y="485"/>
              </a:lnTo>
              <a:lnTo>
                <a:pt x="693" y="503"/>
              </a:lnTo>
              <a:lnTo>
                <a:pt x="639" y="509"/>
              </a:lnTo>
              <a:lnTo>
                <a:pt x="609" y="503"/>
              </a:lnTo>
              <a:lnTo>
                <a:pt x="579" y="503"/>
              </a:lnTo>
              <a:lnTo>
                <a:pt x="555" y="497"/>
              </a:lnTo>
              <a:lnTo>
                <a:pt x="531" y="485"/>
              </a:lnTo>
              <a:lnTo>
                <a:pt x="519" y="503"/>
              </a:lnTo>
              <a:lnTo>
                <a:pt x="501" y="515"/>
              </a:lnTo>
              <a:lnTo>
                <a:pt x="484" y="521"/>
              </a:lnTo>
              <a:lnTo>
                <a:pt x="460" y="526"/>
              </a:lnTo>
              <a:lnTo>
                <a:pt x="442" y="521"/>
              </a:lnTo>
              <a:lnTo>
                <a:pt x="418" y="515"/>
              </a:lnTo>
              <a:lnTo>
                <a:pt x="406" y="503"/>
              </a:lnTo>
              <a:lnTo>
                <a:pt x="394" y="485"/>
              </a:lnTo>
              <a:lnTo>
                <a:pt x="376" y="491"/>
              </a:lnTo>
              <a:lnTo>
                <a:pt x="352" y="497"/>
              </a:lnTo>
              <a:lnTo>
                <a:pt x="334" y="497"/>
              </a:lnTo>
              <a:lnTo>
                <a:pt x="310" y="503"/>
              </a:lnTo>
              <a:lnTo>
                <a:pt x="263" y="497"/>
              </a:lnTo>
              <a:lnTo>
                <a:pt x="221" y="485"/>
              </a:lnTo>
              <a:lnTo>
                <a:pt x="185" y="467"/>
              </a:lnTo>
              <a:lnTo>
                <a:pt x="161" y="444"/>
              </a:lnTo>
              <a:lnTo>
                <a:pt x="143" y="414"/>
              </a:lnTo>
              <a:lnTo>
                <a:pt x="137" y="414"/>
              </a:lnTo>
              <a:lnTo>
                <a:pt x="131" y="414"/>
              </a:lnTo>
              <a:lnTo>
                <a:pt x="90" y="408"/>
              </a:lnTo>
              <a:lnTo>
                <a:pt x="54" y="390"/>
              </a:lnTo>
              <a:lnTo>
                <a:pt x="24" y="373"/>
              </a:lnTo>
              <a:lnTo>
                <a:pt x="6" y="343"/>
              </a:lnTo>
              <a:lnTo>
                <a:pt x="0" y="308"/>
              </a:lnTo>
              <a:lnTo>
                <a:pt x="6" y="272"/>
              </a:lnTo>
              <a:lnTo>
                <a:pt x="30" y="242"/>
              </a:lnTo>
              <a:lnTo>
                <a:pt x="60" y="219"/>
              </a:lnTo>
              <a:lnTo>
                <a:pt x="101" y="201"/>
              </a:lnTo>
              <a:lnTo>
                <a:pt x="107" y="201"/>
              </a:lnTo>
              <a:lnTo>
                <a:pt x="95" y="189"/>
              </a:lnTo>
              <a:lnTo>
                <a:pt x="84" y="177"/>
              </a:lnTo>
              <a:lnTo>
                <a:pt x="78" y="160"/>
              </a:lnTo>
              <a:lnTo>
                <a:pt x="78" y="142"/>
              </a:lnTo>
              <a:lnTo>
                <a:pt x="84" y="100"/>
              </a:lnTo>
              <a:lnTo>
                <a:pt x="113" y="71"/>
              </a:lnTo>
              <a:lnTo>
                <a:pt x="149" y="47"/>
              </a:lnTo>
              <a:lnTo>
                <a:pt x="197" y="35"/>
              </a:lnTo>
              <a:lnTo>
                <a:pt x="227" y="41"/>
              </a:lnTo>
              <a:lnTo>
                <a:pt x="251" y="47"/>
              </a:lnTo>
              <a:lnTo>
                <a:pt x="275" y="59"/>
              </a:lnTo>
              <a:lnTo>
                <a:pt x="293" y="77"/>
              </a:lnTo>
              <a:lnTo>
                <a:pt x="298" y="77"/>
              </a:lnTo>
              <a:lnTo>
                <a:pt x="304" y="77"/>
              </a:lnTo>
              <a:lnTo>
                <a:pt x="310" y="77"/>
              </a:lnTo>
              <a:lnTo>
                <a:pt x="322" y="59"/>
              </a:lnTo>
              <a:lnTo>
                <a:pt x="340" y="53"/>
              </a:lnTo>
              <a:lnTo>
                <a:pt x="358" y="47"/>
              </a:lnTo>
              <a:lnTo>
                <a:pt x="382" y="41"/>
              </a:lnTo>
              <a:lnTo>
                <a:pt x="394" y="41"/>
              </a:lnTo>
              <a:lnTo>
                <a:pt x="406" y="47"/>
              </a:lnTo>
              <a:lnTo>
                <a:pt x="418" y="53"/>
              </a:lnTo>
              <a:lnTo>
                <a:pt x="430" y="53"/>
              </a:lnTo>
              <a:lnTo>
                <a:pt x="436" y="53"/>
              </a:lnTo>
              <a:lnTo>
                <a:pt x="436" y="47"/>
              </a:lnTo>
              <a:lnTo>
                <a:pt x="466" y="29"/>
              </a:lnTo>
              <a:lnTo>
                <a:pt x="496" y="12"/>
              </a:lnTo>
              <a:lnTo>
                <a:pt x="531" y="6"/>
              </a:lnTo>
              <a:lnTo>
                <a:pt x="573" y="0"/>
              </a:lnTo>
              <a:lnTo>
                <a:pt x="621" y="6"/>
              </a:lnTo>
              <a:lnTo>
                <a:pt x="669" y="24"/>
              </a:lnTo>
              <a:lnTo>
                <a:pt x="699" y="47"/>
              </a:lnTo>
              <a:lnTo>
                <a:pt x="722" y="77"/>
              </a:lnTo>
              <a:lnTo>
                <a:pt x="728" y="112"/>
              </a:lnTo>
              <a:lnTo>
                <a:pt x="728" y="118"/>
              </a:lnTo>
              <a:lnTo>
                <a:pt x="728" y="124"/>
              </a:lnTo>
              <a:lnTo>
                <a:pt x="728" y="130"/>
              </a:lnTo>
              <a:lnTo>
                <a:pt x="734" y="130"/>
              </a:lnTo>
              <a:lnTo>
                <a:pt x="740" y="130"/>
              </a:lnTo>
              <a:lnTo>
                <a:pt x="746" y="130"/>
              </a:lnTo>
              <a:lnTo>
                <a:pt x="794" y="136"/>
              </a:lnTo>
              <a:lnTo>
                <a:pt x="830" y="148"/>
              </a:lnTo>
              <a:lnTo>
                <a:pt x="860" y="171"/>
              </a:lnTo>
              <a:lnTo>
                <a:pt x="878" y="201"/>
              </a:lnTo>
              <a:lnTo>
                <a:pt x="884" y="237"/>
              </a:lnTo>
              <a:lnTo>
                <a:pt x="878" y="272"/>
              </a:lnTo>
              <a:lnTo>
                <a:pt x="860" y="296"/>
              </a:lnTo>
              <a:lnTo>
                <a:pt x="830" y="319"/>
              </a:lnTo>
              <a:lnTo>
                <a:pt x="794" y="337"/>
              </a:lnTo>
            </a:path>
          </a:pathLst>
        </a:custGeom>
        <a:solidFill>
          <a:srgbClr val="00B0F0"/>
        </a:solidFill>
        <a:ln w="936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14</xdr:row>
      <xdr:rowOff>28575</xdr:rowOff>
    </xdr:from>
    <xdr:to>
      <xdr:col>15</xdr:col>
      <xdr:colOff>9525</xdr:colOff>
      <xdr:row>21</xdr:row>
      <xdr:rowOff>9525</xdr:rowOff>
    </xdr:to>
    <xdr:sp>
      <xdr:nvSpPr>
        <xdr:cNvPr id="4" name="Freeform 13"/>
        <xdr:cNvSpPr>
          <a:spLocks/>
        </xdr:cNvSpPr>
      </xdr:nvSpPr>
      <xdr:spPr>
        <a:xfrm>
          <a:off x="13001625" y="2809875"/>
          <a:ext cx="1295400" cy="1800225"/>
        </a:xfrm>
        <a:custGeom>
          <a:pathLst>
            <a:path h="861" w="640">
              <a:moveTo>
                <a:pt x="640" y="233"/>
              </a:moveTo>
              <a:lnTo>
                <a:pt x="221" y="293"/>
              </a:lnTo>
              <a:lnTo>
                <a:pt x="506" y="12"/>
              </a:lnTo>
              <a:lnTo>
                <a:pt x="367" y="0"/>
              </a:lnTo>
              <a:lnTo>
                <a:pt x="29" y="406"/>
              </a:lnTo>
              <a:lnTo>
                <a:pt x="431" y="347"/>
              </a:lnTo>
              <a:lnTo>
                <a:pt x="145" y="645"/>
              </a:lnTo>
              <a:lnTo>
                <a:pt x="99" y="520"/>
              </a:lnTo>
              <a:lnTo>
                <a:pt x="0" y="861"/>
              </a:lnTo>
              <a:lnTo>
                <a:pt x="326" y="765"/>
              </a:lnTo>
              <a:lnTo>
                <a:pt x="209" y="711"/>
              </a:lnTo>
              <a:lnTo>
                <a:pt x="640" y="233"/>
              </a:lnTo>
              <a:close/>
            </a:path>
          </a:pathLst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228600</xdr:rowOff>
    </xdr:from>
    <xdr:to>
      <xdr:col>10</xdr:col>
      <xdr:colOff>171450</xdr:colOff>
      <xdr:row>18</xdr:row>
      <xdr:rowOff>285750</xdr:rowOff>
    </xdr:to>
    <xdr:sp>
      <xdr:nvSpPr>
        <xdr:cNvPr id="5" name="AutoShape 14"/>
        <xdr:cNvSpPr>
          <a:spLocks/>
        </xdr:cNvSpPr>
      </xdr:nvSpPr>
      <xdr:spPr>
        <a:xfrm rot="240000">
          <a:off x="7096125" y="3667125"/>
          <a:ext cx="3448050" cy="390525"/>
        </a:xfrm>
        <a:prstGeom prst="rightArrow">
          <a:avLst>
            <a:gd name="adj1" fmla="val 42203"/>
            <a:gd name="adj2" fmla="val -21097"/>
          </a:avLst>
        </a:prstGeom>
        <a:solidFill>
          <a:srgbClr val="92D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19050</xdr:rowOff>
    </xdr:from>
    <xdr:to>
      <xdr:col>4</xdr:col>
      <xdr:colOff>266700</xdr:colOff>
      <xdr:row>18</xdr:row>
      <xdr:rowOff>123825</xdr:rowOff>
    </xdr:to>
    <xdr:sp>
      <xdr:nvSpPr>
        <xdr:cNvPr id="6" name="AutoShape 15"/>
        <xdr:cNvSpPr>
          <a:spLocks/>
        </xdr:cNvSpPr>
      </xdr:nvSpPr>
      <xdr:spPr>
        <a:xfrm>
          <a:off x="4467225" y="3457575"/>
          <a:ext cx="962025" cy="438150"/>
        </a:xfrm>
        <a:prstGeom prst="rightArrow">
          <a:avLst>
            <a:gd name="adj" fmla="val 39078"/>
          </a:avLst>
        </a:prstGeom>
        <a:solidFill>
          <a:srgbClr val="92D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180975</xdr:rowOff>
    </xdr:from>
    <xdr:to>
      <xdr:col>6</xdr:col>
      <xdr:colOff>695325</xdr:colOff>
      <xdr:row>16</xdr:row>
      <xdr:rowOff>142875</xdr:rowOff>
    </xdr:to>
    <xdr:sp>
      <xdr:nvSpPr>
        <xdr:cNvPr id="7" name="AutoShape 18"/>
        <xdr:cNvSpPr>
          <a:spLocks/>
        </xdr:cNvSpPr>
      </xdr:nvSpPr>
      <xdr:spPr>
        <a:xfrm rot="20400000">
          <a:off x="7010400" y="3124200"/>
          <a:ext cx="590550" cy="295275"/>
        </a:xfrm>
        <a:prstGeom prst="rightArrow">
          <a:avLst>
            <a:gd name="adj" fmla="val 37902"/>
          </a:avLst>
        </a:prstGeom>
        <a:solidFill>
          <a:srgbClr val="92D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704850</xdr:colOff>
      <xdr:row>11</xdr:row>
      <xdr:rowOff>0</xdr:rowOff>
    </xdr:from>
    <xdr:to>
      <xdr:col>8</xdr:col>
      <xdr:colOff>247650</xdr:colOff>
      <xdr:row>13</xdr:row>
      <xdr:rowOff>19050</xdr:rowOff>
    </xdr:to>
    <xdr:sp>
      <xdr:nvSpPr>
        <xdr:cNvPr id="8" name="AutoShape 19"/>
        <xdr:cNvSpPr>
          <a:spLocks/>
        </xdr:cNvSpPr>
      </xdr:nvSpPr>
      <xdr:spPr>
        <a:xfrm rot="19380000">
          <a:off x="8382000" y="2124075"/>
          <a:ext cx="571500" cy="342900"/>
        </a:xfrm>
        <a:prstGeom prst="rightArrow">
          <a:avLst>
            <a:gd name="adj" fmla="val 27125"/>
          </a:avLst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133350</xdr:rowOff>
    </xdr:from>
    <xdr:to>
      <xdr:col>10</xdr:col>
      <xdr:colOff>400050</xdr:colOff>
      <xdr:row>14</xdr:row>
      <xdr:rowOff>19050</xdr:rowOff>
    </xdr:to>
    <xdr:sp>
      <xdr:nvSpPr>
        <xdr:cNvPr id="9" name="AutoShape 20"/>
        <xdr:cNvSpPr>
          <a:spLocks/>
        </xdr:cNvSpPr>
      </xdr:nvSpPr>
      <xdr:spPr>
        <a:xfrm rot="1320000">
          <a:off x="9782175" y="2257425"/>
          <a:ext cx="990600" cy="542925"/>
        </a:xfrm>
        <a:prstGeom prst="leftArrow">
          <a:avLst>
            <a:gd name="adj" fmla="val -27587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28575</xdr:rowOff>
    </xdr:from>
    <xdr:to>
      <xdr:col>13</xdr:col>
      <xdr:colOff>114300</xdr:colOff>
      <xdr:row>16</xdr:row>
      <xdr:rowOff>0</xdr:rowOff>
    </xdr:to>
    <xdr:sp>
      <xdr:nvSpPr>
        <xdr:cNvPr id="10" name="AutoShape 21"/>
        <xdr:cNvSpPr>
          <a:spLocks/>
        </xdr:cNvSpPr>
      </xdr:nvSpPr>
      <xdr:spPr>
        <a:xfrm>
          <a:off x="12039600" y="2971800"/>
          <a:ext cx="819150" cy="304800"/>
        </a:xfrm>
        <a:prstGeom prst="leftArrow">
          <a:avLst>
            <a:gd name="adj" fmla="val -2556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13</xdr:col>
      <xdr:colOff>152400</xdr:colOff>
      <xdr:row>18</xdr:row>
      <xdr:rowOff>285750</xdr:rowOff>
    </xdr:to>
    <xdr:sp>
      <xdr:nvSpPr>
        <xdr:cNvPr id="11" name="AutoShape 22"/>
        <xdr:cNvSpPr>
          <a:spLocks/>
        </xdr:cNvSpPr>
      </xdr:nvSpPr>
      <xdr:spPr>
        <a:xfrm>
          <a:off x="11991975" y="3790950"/>
          <a:ext cx="904875" cy="266700"/>
        </a:xfrm>
        <a:prstGeom prst="rightArrow">
          <a:avLst>
            <a:gd name="adj" fmla="val 35000"/>
          </a:avLst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171450</xdr:colOff>
      <xdr:row>26</xdr:row>
      <xdr:rowOff>114300</xdr:rowOff>
    </xdr:from>
    <xdr:to>
      <xdr:col>6</xdr:col>
      <xdr:colOff>66675</xdr:colOff>
      <xdr:row>31</xdr:row>
      <xdr:rowOff>104775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5562600"/>
          <a:ext cx="3181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7</xdr:row>
      <xdr:rowOff>276225</xdr:rowOff>
    </xdr:from>
    <xdr:to>
      <xdr:col>2</xdr:col>
      <xdr:colOff>485775</xdr:colOff>
      <xdr:row>10</xdr:row>
      <xdr:rowOff>47625</xdr:rowOff>
    </xdr:to>
    <xdr:sp>
      <xdr:nvSpPr>
        <xdr:cNvPr id="13" name="AutoShape 7"/>
        <xdr:cNvSpPr>
          <a:spLocks/>
        </xdr:cNvSpPr>
      </xdr:nvSpPr>
      <xdr:spPr>
        <a:xfrm>
          <a:off x="2352675" y="1409700"/>
          <a:ext cx="1752600" cy="600075"/>
        </a:xfrm>
        <a:prstGeom prst="bevel">
          <a:avLst>
            <a:gd name="adj" fmla="val -45046"/>
          </a:avLst>
        </a:prstGeom>
        <a:blipFill>
          <a:blip r:embed="rId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2352675</xdr:colOff>
      <xdr:row>10</xdr:row>
      <xdr:rowOff>123825</xdr:rowOff>
    </xdr:from>
    <xdr:to>
      <xdr:col>2</xdr:col>
      <xdr:colOff>485775</xdr:colOff>
      <xdr:row>13</xdr:row>
      <xdr:rowOff>238125</xdr:rowOff>
    </xdr:to>
    <xdr:sp>
      <xdr:nvSpPr>
        <xdr:cNvPr id="14" name="AutoShape 7"/>
        <xdr:cNvSpPr>
          <a:spLocks/>
        </xdr:cNvSpPr>
      </xdr:nvSpPr>
      <xdr:spPr>
        <a:xfrm>
          <a:off x="2352675" y="2085975"/>
          <a:ext cx="1752600" cy="600075"/>
        </a:xfrm>
        <a:prstGeom prst="bevel">
          <a:avLst>
            <a:gd name="adj" fmla="val -45046"/>
          </a:avLst>
        </a:prstGeom>
        <a:blipFill>
          <a:blip r:embed="rId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7</xdr:row>
      <xdr:rowOff>285750</xdr:rowOff>
    </xdr:from>
    <xdr:to>
      <xdr:col>5</xdr:col>
      <xdr:colOff>266700</xdr:colOff>
      <xdr:row>10</xdr:row>
      <xdr:rowOff>57150</xdr:rowOff>
    </xdr:to>
    <xdr:sp>
      <xdr:nvSpPr>
        <xdr:cNvPr id="15" name="AutoShape 7"/>
        <xdr:cNvSpPr>
          <a:spLocks/>
        </xdr:cNvSpPr>
      </xdr:nvSpPr>
      <xdr:spPr>
        <a:xfrm>
          <a:off x="4210050" y="1419225"/>
          <a:ext cx="1752600" cy="600075"/>
        </a:xfrm>
        <a:prstGeom prst="bevel">
          <a:avLst>
            <a:gd name="adj" fmla="val -45046"/>
          </a:avLst>
        </a:prstGeom>
        <a:blipFill>
          <a:blip r:embed="rId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10</xdr:row>
      <xdr:rowOff>142875</xdr:rowOff>
    </xdr:from>
    <xdr:to>
      <xdr:col>5</xdr:col>
      <xdr:colOff>304800</xdr:colOff>
      <xdr:row>13</xdr:row>
      <xdr:rowOff>257175</xdr:rowOff>
    </xdr:to>
    <xdr:sp>
      <xdr:nvSpPr>
        <xdr:cNvPr id="16" name="AutoShape 7"/>
        <xdr:cNvSpPr>
          <a:spLocks/>
        </xdr:cNvSpPr>
      </xdr:nvSpPr>
      <xdr:spPr>
        <a:xfrm>
          <a:off x="4248150" y="2105025"/>
          <a:ext cx="1752600" cy="600075"/>
        </a:xfrm>
        <a:prstGeom prst="bevel">
          <a:avLst>
            <a:gd name="adj" fmla="val -45046"/>
          </a:avLst>
        </a:prstGeom>
        <a:blipFill>
          <a:blip r:embed="rId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2352675</xdr:colOff>
      <xdr:row>13</xdr:row>
      <xdr:rowOff>323850</xdr:rowOff>
    </xdr:from>
    <xdr:to>
      <xdr:col>2</xdr:col>
      <xdr:colOff>485775</xdr:colOff>
      <xdr:row>16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2352675" y="2771775"/>
          <a:ext cx="1752600" cy="600075"/>
        </a:xfrm>
        <a:prstGeom prst="bevel">
          <a:avLst>
            <a:gd name="adj" fmla="val -45046"/>
          </a:avLst>
        </a:prstGeom>
        <a:blipFill>
          <a:blip r:embed="rId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14</xdr:row>
      <xdr:rowOff>19050</xdr:rowOff>
    </xdr:from>
    <xdr:to>
      <xdr:col>5</xdr:col>
      <xdr:colOff>295275</xdr:colOff>
      <xdr:row>16</xdr:row>
      <xdr:rowOff>123825</xdr:rowOff>
    </xdr:to>
    <xdr:sp>
      <xdr:nvSpPr>
        <xdr:cNvPr id="18" name="AutoShape 7"/>
        <xdr:cNvSpPr>
          <a:spLocks/>
        </xdr:cNvSpPr>
      </xdr:nvSpPr>
      <xdr:spPr>
        <a:xfrm>
          <a:off x="4238625" y="2800350"/>
          <a:ext cx="1752600" cy="600075"/>
        </a:xfrm>
        <a:prstGeom prst="bevel">
          <a:avLst>
            <a:gd name="adj" fmla="val -45046"/>
          </a:avLst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PageLayoutView="50" workbookViewId="0" topLeftCell="A1">
      <selection activeCell="F33" sqref="F33"/>
    </sheetView>
  </sheetViews>
  <sheetFormatPr defaultColWidth="9.140625" defaultRowHeight="15"/>
  <cols>
    <col min="1" max="1" width="5.28125" style="0" bestFit="1" customWidth="1"/>
    <col min="2" max="2" width="16.00390625" style="0" customWidth="1"/>
    <col min="3" max="3" width="19.7109375" style="0" customWidth="1"/>
    <col min="4" max="4" width="22.7109375" style="0" customWidth="1"/>
    <col min="5" max="5" width="17.7109375" style="0" customWidth="1"/>
    <col min="6" max="6" width="19.57421875" style="0" customWidth="1"/>
    <col min="7" max="7" width="14.140625" style="0" customWidth="1"/>
    <col min="8" max="8" width="11.8515625" style="0" customWidth="1"/>
    <col min="9" max="9" width="12.57421875" style="0" bestFit="1" customWidth="1"/>
    <col min="10" max="10" width="22.28125" style="0" customWidth="1"/>
    <col min="11" max="11" width="16.28125" style="0" customWidth="1"/>
    <col min="12" max="12" width="10.421875" style="0" customWidth="1"/>
    <col min="13" max="13" width="13.28125" style="0" customWidth="1"/>
    <col min="14" max="14" width="15.421875" style="0" customWidth="1"/>
    <col min="15" max="15" width="9.8515625" style="0" customWidth="1"/>
    <col min="16" max="16" width="7.28125" style="0" bestFit="1" customWidth="1"/>
    <col min="17" max="17" width="10.7109375" style="0" bestFit="1" customWidth="1"/>
    <col min="19" max="19" width="14.8515625" style="0" customWidth="1"/>
  </cols>
  <sheetData>
    <row r="1" ht="16.5" thickBot="1">
      <c r="A1" s="4" t="s">
        <v>2</v>
      </c>
    </row>
    <row r="2" spans="1:16" ht="15.75" thickBot="1">
      <c r="A2" s="112" t="s">
        <v>52</v>
      </c>
      <c r="B2" s="113"/>
      <c r="C2" s="36">
        <v>5</v>
      </c>
      <c r="D2" s="40" t="s">
        <v>5</v>
      </c>
      <c r="E2" s="41"/>
      <c r="F2" s="36">
        <v>1400</v>
      </c>
      <c r="G2" s="51" t="s">
        <v>8</v>
      </c>
      <c r="H2" s="52"/>
      <c r="I2" s="53">
        <v>0.007</v>
      </c>
      <c r="J2" s="54" t="s">
        <v>26</v>
      </c>
      <c r="K2" s="41"/>
      <c r="L2" s="41"/>
      <c r="M2" s="55">
        <v>0.18</v>
      </c>
      <c r="N2" s="41"/>
      <c r="O2" s="41"/>
      <c r="P2" s="56"/>
    </row>
    <row r="3" spans="1:16" ht="15.75" thickBot="1">
      <c r="A3" s="114" t="s">
        <v>18</v>
      </c>
      <c r="B3" s="115"/>
      <c r="C3" s="37">
        <f>C4*M2</f>
        <v>1440</v>
      </c>
      <c r="D3" s="42" t="s">
        <v>6</v>
      </c>
      <c r="E3" s="43"/>
      <c r="F3" s="37">
        <v>0</v>
      </c>
      <c r="G3" s="57" t="s">
        <v>16</v>
      </c>
      <c r="H3" s="58"/>
      <c r="I3" s="59">
        <v>14000</v>
      </c>
      <c r="J3" s="54" t="s">
        <v>58</v>
      </c>
      <c r="K3" s="43">
        <v>0.7</v>
      </c>
      <c r="L3" s="54" t="s">
        <v>59</v>
      </c>
      <c r="M3" s="43"/>
      <c r="N3" s="43">
        <f>1-K3</f>
        <v>0.30000000000000004</v>
      </c>
      <c r="O3" s="43"/>
      <c r="P3" s="47"/>
    </row>
    <row r="4" spans="1:16" ht="15">
      <c r="A4" s="114" t="s">
        <v>53</v>
      </c>
      <c r="B4" s="116"/>
      <c r="C4" s="38">
        <v>8000</v>
      </c>
      <c r="D4" s="42" t="s">
        <v>56</v>
      </c>
      <c r="E4" s="43">
        <v>1</v>
      </c>
      <c r="F4" s="37">
        <f>E4*(I3*55%)</f>
        <v>7700.000000000001</v>
      </c>
      <c r="G4" s="66" t="s">
        <v>54</v>
      </c>
      <c r="H4" s="58"/>
      <c r="I4" s="60"/>
      <c r="J4" s="54" t="s">
        <v>61</v>
      </c>
      <c r="K4">
        <v>0.11</v>
      </c>
      <c r="L4" s="60"/>
      <c r="M4" s="43"/>
      <c r="N4" s="43"/>
      <c r="O4" s="43"/>
      <c r="P4" s="47"/>
    </row>
    <row r="5" spans="1:19" ht="15.75">
      <c r="A5" s="114" t="s">
        <v>3</v>
      </c>
      <c r="B5" s="115"/>
      <c r="C5" s="39">
        <v>0.02</v>
      </c>
      <c r="D5" s="42" t="s">
        <v>7</v>
      </c>
      <c r="E5" s="43"/>
      <c r="F5" s="37">
        <v>0</v>
      </c>
      <c r="G5" s="61"/>
      <c r="H5" s="62"/>
      <c r="I5" s="63" t="s">
        <v>15</v>
      </c>
      <c r="J5" s="63"/>
      <c r="K5" s="63"/>
      <c r="L5" s="64" t="s">
        <v>62</v>
      </c>
      <c r="M5" s="63"/>
      <c r="N5" s="63"/>
      <c r="O5" s="43"/>
      <c r="P5" s="47"/>
      <c r="R5" s="3"/>
      <c r="S5" s="3"/>
    </row>
    <row r="6" spans="1:16" ht="15.75" thickBot="1">
      <c r="A6" s="114" t="s">
        <v>4</v>
      </c>
      <c r="B6" s="115"/>
      <c r="C6" s="39">
        <v>0.02</v>
      </c>
      <c r="D6" s="46"/>
      <c r="E6" s="43"/>
      <c r="F6" s="47"/>
      <c r="G6" s="65"/>
      <c r="H6" s="44"/>
      <c r="I6" s="110" t="s">
        <v>10</v>
      </c>
      <c r="J6" s="110"/>
      <c r="K6" s="110"/>
      <c r="L6" s="111"/>
      <c r="M6" s="111"/>
      <c r="N6" s="111"/>
      <c r="O6" s="44"/>
      <c r="P6" s="45"/>
    </row>
    <row r="7" spans="1:16" ht="15">
      <c r="A7" s="48" t="s">
        <v>1</v>
      </c>
      <c r="B7" s="49"/>
      <c r="C7" s="50" t="s">
        <v>0</v>
      </c>
      <c r="D7" s="104" t="s">
        <v>55</v>
      </c>
      <c r="E7" s="104" t="s">
        <v>24</v>
      </c>
      <c r="F7" s="104" t="s">
        <v>61</v>
      </c>
      <c r="G7" s="108" t="s">
        <v>57</v>
      </c>
      <c r="H7" s="109"/>
      <c r="I7" s="104" t="s">
        <v>9</v>
      </c>
      <c r="J7" s="104" t="s">
        <v>12</v>
      </c>
      <c r="K7" s="104" t="s">
        <v>21</v>
      </c>
      <c r="L7" s="105" t="s">
        <v>19</v>
      </c>
      <c r="M7" s="104" t="s">
        <v>12</v>
      </c>
      <c r="N7" s="104" t="s">
        <v>21</v>
      </c>
      <c r="O7" s="105" t="s">
        <v>19</v>
      </c>
      <c r="P7" s="106" t="s">
        <v>13</v>
      </c>
    </row>
    <row r="8" spans="1:16" ht="16.5" thickBot="1">
      <c r="A8" s="67">
        <v>0</v>
      </c>
      <c r="B8" s="68">
        <v>41061</v>
      </c>
      <c r="C8" s="69"/>
      <c r="D8" s="69"/>
      <c r="E8" s="70" t="s">
        <v>60</v>
      </c>
      <c r="F8" s="71"/>
      <c r="G8" s="72">
        <f>-(F4/10)</f>
        <v>-770.0000000000001</v>
      </c>
      <c r="H8" s="72"/>
      <c r="I8" s="73">
        <f>F3+I3</f>
        <v>14000</v>
      </c>
      <c r="J8" s="74">
        <f>-($G8+$H8+$I8)</f>
        <v>-13230</v>
      </c>
      <c r="K8" s="72">
        <f>J8</f>
        <v>-13230</v>
      </c>
      <c r="L8" s="75"/>
      <c r="M8" s="74">
        <f>J8</f>
        <v>-13230</v>
      </c>
      <c r="N8" s="72">
        <f>K8</f>
        <v>-13230</v>
      </c>
      <c r="O8" s="75"/>
      <c r="P8" s="76" t="s">
        <v>14</v>
      </c>
    </row>
    <row r="9" spans="1:16" ht="15.75">
      <c r="A9" s="67">
        <v>1</v>
      </c>
      <c r="B9" s="68">
        <v>41426</v>
      </c>
      <c r="C9" s="69">
        <f>C2*F2</f>
        <v>7000</v>
      </c>
      <c r="D9" s="72">
        <f>$I$4*C9*$N$3</f>
        <v>0</v>
      </c>
      <c r="E9" s="72">
        <f>$K$3*C9*M2</f>
        <v>882</v>
      </c>
      <c r="F9" s="72">
        <f>(1-K3)*C9*K4</f>
        <v>231.00000000000006</v>
      </c>
      <c r="G9" s="72">
        <f>G8</f>
        <v>-770.0000000000001</v>
      </c>
      <c r="H9" s="72"/>
      <c r="I9" s="69"/>
      <c r="J9" s="74">
        <f>$D9+$F9+$E9-$G9-$H9-$I9</f>
        <v>1883</v>
      </c>
      <c r="K9" s="72">
        <f>J9*P9</f>
        <v>1846.078431372549</v>
      </c>
      <c r="L9" s="77">
        <f>K8+K9</f>
        <v>-11383.921568627451</v>
      </c>
      <c r="M9" s="74">
        <f>J9-F9-E9</f>
        <v>770</v>
      </c>
      <c r="N9" s="72">
        <f aca="true" t="shared" si="0" ref="N9:N28">M9*P9</f>
        <v>754.9019607843137</v>
      </c>
      <c r="O9" s="77">
        <f>N8+N9</f>
        <v>-12475.098039215687</v>
      </c>
      <c r="P9" s="78">
        <f>1/((1+($C$5*1))^A9)</f>
        <v>0.9803921568627451</v>
      </c>
    </row>
    <row r="10" spans="1:16" ht="15.75">
      <c r="A10" s="67">
        <v>2</v>
      </c>
      <c r="B10" s="68">
        <v>41791</v>
      </c>
      <c r="C10" s="79">
        <f aca="true" t="shared" si="1" ref="C10:C28">$C9-($C9*$I$2)</f>
        <v>6951</v>
      </c>
      <c r="D10" s="72">
        <f aca="true" t="shared" si="2" ref="D10:D28">$I$4*C10*$N$3</f>
        <v>0</v>
      </c>
      <c r="E10" s="72">
        <f aca="true" t="shared" si="3" ref="E10:E28">E9+(E9*$C$6)</f>
        <v>899.64</v>
      </c>
      <c r="F10" s="72">
        <f>(1-K3)*C10*K4</f>
        <v>229.383</v>
      </c>
      <c r="G10" s="72">
        <f aca="true" t="shared" si="4" ref="G10:G19">G9</f>
        <v>-770.0000000000001</v>
      </c>
      <c r="H10" s="72"/>
      <c r="I10" s="69"/>
      <c r="J10" s="74">
        <f aca="true" t="shared" si="5" ref="J10:J28">$D10+$F10+$E10-$G10-$H10-$I10</f>
        <v>1899.0230000000001</v>
      </c>
      <c r="K10" s="72">
        <f>J10*P10</f>
        <v>1825.2816224529029</v>
      </c>
      <c r="L10" s="80">
        <f>L9+K10</f>
        <v>-9558.639946174548</v>
      </c>
      <c r="M10" s="74">
        <f aca="true" t="shared" si="6" ref="M10:M28">J10-F10-E10</f>
        <v>770.0000000000001</v>
      </c>
      <c r="N10" s="72">
        <f t="shared" si="0"/>
        <v>740.0999615532489</v>
      </c>
      <c r="O10" s="80">
        <f>O9+N10</f>
        <v>-11734.998077662438</v>
      </c>
      <c r="P10" s="78">
        <f aca="true" t="shared" si="7" ref="P10:P28">1/((1+($C$5*1))^A10)</f>
        <v>0.9611687812379854</v>
      </c>
    </row>
    <row r="11" spans="1:16" ht="15.75">
      <c r="A11" s="67">
        <v>3</v>
      </c>
      <c r="B11" s="68">
        <v>42156</v>
      </c>
      <c r="C11" s="79">
        <f t="shared" si="1"/>
        <v>6902.343</v>
      </c>
      <c r="D11" s="72">
        <f t="shared" si="2"/>
        <v>0</v>
      </c>
      <c r="E11" s="72">
        <f t="shared" si="3"/>
        <v>917.6328</v>
      </c>
      <c r="F11" s="72">
        <f>(1-K3)*C11*K4</f>
        <v>227.77731900000003</v>
      </c>
      <c r="G11" s="72">
        <f t="shared" si="4"/>
        <v>-770.0000000000001</v>
      </c>
      <c r="H11" s="72"/>
      <c r="I11" s="69"/>
      <c r="J11" s="74">
        <f t="shared" si="5"/>
        <v>1915.4101190000001</v>
      </c>
      <c r="K11" s="72">
        <f>J11*P11</f>
        <v>1804.9337349511127</v>
      </c>
      <c r="L11" s="80">
        <f aca="true" t="shared" si="8" ref="L11:L28">L10+K11</f>
        <v>-7753.706211223435</v>
      </c>
      <c r="M11" s="74">
        <f t="shared" si="6"/>
        <v>770.0000000000001</v>
      </c>
      <c r="N11" s="72">
        <f t="shared" si="0"/>
        <v>725.5881976012245</v>
      </c>
      <c r="O11" s="80">
        <f aca="true" t="shared" si="9" ref="O11:O28">O10+N11</f>
        <v>-11009.409880061214</v>
      </c>
      <c r="P11" s="78">
        <f t="shared" si="7"/>
        <v>0.9423223345470446</v>
      </c>
    </row>
    <row r="12" spans="1:16" ht="15.75">
      <c r="A12" s="67">
        <v>4</v>
      </c>
      <c r="B12" s="68">
        <v>42522</v>
      </c>
      <c r="C12" s="79">
        <f t="shared" si="1"/>
        <v>6854.026599</v>
      </c>
      <c r="D12" s="72">
        <f t="shared" si="2"/>
        <v>0</v>
      </c>
      <c r="E12" s="72">
        <f t="shared" si="3"/>
        <v>935.985456</v>
      </c>
      <c r="F12" s="72">
        <f>(1-K3)*C12*K4</f>
        <v>226.182877767</v>
      </c>
      <c r="G12" s="72">
        <f t="shared" si="4"/>
        <v>-770.0000000000001</v>
      </c>
      <c r="H12" s="72"/>
      <c r="I12" s="69"/>
      <c r="J12" s="74">
        <f t="shared" si="5"/>
        <v>1932.1683337670001</v>
      </c>
      <c r="K12" s="72">
        <f>J12*P12</f>
        <v>1785.0248774639144</v>
      </c>
      <c r="L12" s="80">
        <f t="shared" si="8"/>
        <v>-5968.681333759521</v>
      </c>
      <c r="M12" s="74">
        <f t="shared" si="6"/>
        <v>770.0000000000001</v>
      </c>
      <c r="N12" s="72">
        <f t="shared" si="0"/>
        <v>711.3609780404161</v>
      </c>
      <c r="O12" s="80">
        <f t="shared" si="9"/>
        <v>-10298.048902020797</v>
      </c>
      <c r="P12" s="78">
        <f t="shared" si="7"/>
        <v>0.9238454260265142</v>
      </c>
    </row>
    <row r="13" spans="1:16" ht="15.75">
      <c r="A13" s="67">
        <v>5</v>
      </c>
      <c r="B13" s="68">
        <v>42887</v>
      </c>
      <c r="C13" s="79">
        <f t="shared" si="1"/>
        <v>6806.048412807</v>
      </c>
      <c r="D13" s="72">
        <f t="shared" si="2"/>
        <v>0</v>
      </c>
      <c r="E13" s="72">
        <f t="shared" si="3"/>
        <v>954.70516512</v>
      </c>
      <c r="F13" s="72">
        <f>(1-K3)*C13*K4</f>
        <v>224.59959762263105</v>
      </c>
      <c r="G13" s="72">
        <f t="shared" si="4"/>
        <v>-770.0000000000001</v>
      </c>
      <c r="H13" s="72"/>
      <c r="I13" s="69"/>
      <c r="J13" s="74">
        <f t="shared" si="5"/>
        <v>1949.3047627426313</v>
      </c>
      <c r="K13" s="72">
        <f>J13*P13</f>
        <v>1765.5453813641957</v>
      </c>
      <c r="L13" s="80">
        <f t="shared" si="8"/>
        <v>-4203.135952395325</v>
      </c>
      <c r="M13" s="74">
        <f t="shared" si="6"/>
        <v>770.0000000000002</v>
      </c>
      <c r="N13" s="72">
        <f t="shared" si="0"/>
        <v>697.4127235690355</v>
      </c>
      <c r="O13" s="80">
        <f t="shared" si="9"/>
        <v>-9600.636178451761</v>
      </c>
      <c r="P13" s="78">
        <f t="shared" si="7"/>
        <v>0.9057308098299159</v>
      </c>
    </row>
    <row r="14" spans="1:16" ht="15.75">
      <c r="A14" s="67">
        <v>6</v>
      </c>
      <c r="B14" s="68">
        <v>43252</v>
      </c>
      <c r="C14" s="79">
        <f t="shared" si="1"/>
        <v>6758.406073917351</v>
      </c>
      <c r="D14" s="72">
        <f t="shared" si="2"/>
        <v>0</v>
      </c>
      <c r="E14" s="72">
        <f t="shared" si="3"/>
        <v>973.7992684223999</v>
      </c>
      <c r="F14" s="72">
        <f>(1-K3)*C14*K4</f>
        <v>223.0274004392726</v>
      </c>
      <c r="G14" s="72">
        <f t="shared" si="4"/>
        <v>-770.0000000000001</v>
      </c>
      <c r="H14" s="72"/>
      <c r="I14" s="69"/>
      <c r="J14" s="74">
        <f t="shared" si="5"/>
        <v>1966.8266688616727</v>
      </c>
      <c r="K14" s="72">
        <f>J14*P14</f>
        <v>1746.4857956697633</v>
      </c>
      <c r="L14" s="80">
        <f t="shared" si="8"/>
        <v>-2456.650156725562</v>
      </c>
      <c r="M14" s="74">
        <f t="shared" si="6"/>
        <v>770.0000000000001</v>
      </c>
      <c r="N14" s="72">
        <f t="shared" si="0"/>
        <v>683.7379642833679</v>
      </c>
      <c r="O14" s="80">
        <f t="shared" si="9"/>
        <v>-8916.898214168394</v>
      </c>
      <c r="P14" s="78">
        <f t="shared" si="7"/>
        <v>0.887971382186192</v>
      </c>
    </row>
    <row r="15" spans="1:16" ht="16.5" thickBot="1">
      <c r="A15" s="67">
        <v>7</v>
      </c>
      <c r="B15" s="68">
        <v>43617</v>
      </c>
      <c r="C15" s="79">
        <f t="shared" si="1"/>
        <v>6711.097231399929</v>
      </c>
      <c r="D15" s="72">
        <f t="shared" si="2"/>
        <v>0</v>
      </c>
      <c r="E15" s="72">
        <f t="shared" si="3"/>
        <v>993.275253790848</v>
      </c>
      <c r="F15" s="72">
        <f>(1-K3)*C15*K4</f>
        <v>221.4662086361977</v>
      </c>
      <c r="G15" s="72">
        <f t="shared" si="4"/>
        <v>-770.0000000000001</v>
      </c>
      <c r="H15" s="72"/>
      <c r="I15" s="69"/>
      <c r="J15" s="74">
        <f t="shared" si="5"/>
        <v>1984.741462427046</v>
      </c>
      <c r="K15" s="72">
        <f>J15*P15</f>
        <v>1727.8368820329297</v>
      </c>
      <c r="L15" s="81">
        <f t="shared" si="8"/>
        <v>-728.8132746926321</v>
      </c>
      <c r="M15" s="74">
        <f t="shared" si="6"/>
        <v>770.0000000000002</v>
      </c>
      <c r="N15" s="72">
        <f t="shared" si="0"/>
        <v>670.3313375327139</v>
      </c>
      <c r="O15" s="80">
        <f t="shared" si="9"/>
        <v>-8246.56687663568</v>
      </c>
      <c r="P15" s="78">
        <f t="shared" si="7"/>
        <v>0.8705601786139139</v>
      </c>
    </row>
    <row r="16" spans="1:16" ht="15.75">
      <c r="A16" s="67">
        <v>8</v>
      </c>
      <c r="B16" s="68">
        <v>43983</v>
      </c>
      <c r="C16" s="79">
        <f t="shared" si="1"/>
        <v>6664.119550780129</v>
      </c>
      <c r="D16" s="72">
        <f t="shared" si="2"/>
        <v>0</v>
      </c>
      <c r="E16" s="72">
        <f t="shared" si="3"/>
        <v>1013.1407588666649</v>
      </c>
      <c r="F16" s="72">
        <f>(1-K3)*C16*K4</f>
        <v>219.91594517574433</v>
      </c>
      <c r="G16" s="72">
        <f t="shared" si="4"/>
        <v>-770.0000000000001</v>
      </c>
      <c r="H16" s="72"/>
      <c r="I16" s="69"/>
      <c r="J16" s="74">
        <f t="shared" si="5"/>
        <v>2003.0567040424094</v>
      </c>
      <c r="K16" s="72">
        <f>J16*P16</f>
        <v>1709.5896098479975</v>
      </c>
      <c r="L16" s="75">
        <f t="shared" si="8"/>
        <v>980.7763351553654</v>
      </c>
      <c r="M16" s="74">
        <f t="shared" si="6"/>
        <v>770.0000000000001</v>
      </c>
      <c r="N16" s="72">
        <f t="shared" si="0"/>
        <v>657.187585816386</v>
      </c>
      <c r="O16" s="80">
        <f t="shared" si="9"/>
        <v>-7589.379290819294</v>
      </c>
      <c r="P16" s="78">
        <f t="shared" si="7"/>
        <v>0.8534903711901116</v>
      </c>
    </row>
    <row r="17" spans="1:16" ht="15.75">
      <c r="A17" s="67">
        <v>9</v>
      </c>
      <c r="B17" s="68">
        <v>44348</v>
      </c>
      <c r="C17" s="79">
        <f t="shared" si="1"/>
        <v>6617.470713924668</v>
      </c>
      <c r="D17" s="72">
        <f t="shared" si="2"/>
        <v>0</v>
      </c>
      <c r="E17" s="72">
        <f t="shared" si="3"/>
        <v>1033.403574043998</v>
      </c>
      <c r="F17" s="72">
        <f>(1-K3)*C17*K4</f>
        <v>218.3765335595141</v>
      </c>
      <c r="G17" s="72">
        <f t="shared" si="4"/>
        <v>-770.0000000000001</v>
      </c>
      <c r="H17" s="72"/>
      <c r="I17" s="69"/>
      <c r="J17" s="74">
        <f t="shared" si="5"/>
        <v>2021.780107603512</v>
      </c>
      <c r="K17" s="72">
        <f>J17*P17</f>
        <v>1691.7351514738289</v>
      </c>
      <c r="L17" s="75">
        <f t="shared" si="8"/>
        <v>2672.511486629194</v>
      </c>
      <c r="M17" s="74">
        <f t="shared" si="6"/>
        <v>770</v>
      </c>
      <c r="N17" s="72">
        <f t="shared" si="0"/>
        <v>644.301554721947</v>
      </c>
      <c r="O17" s="80">
        <f t="shared" si="9"/>
        <v>-6945.077736097346</v>
      </c>
      <c r="P17" s="78">
        <f t="shared" si="7"/>
        <v>0.8367552658726585</v>
      </c>
    </row>
    <row r="18" spans="1:16" s="107" customFormat="1" ht="15.75">
      <c r="A18" s="67">
        <v>10</v>
      </c>
      <c r="B18" s="68">
        <v>44713</v>
      </c>
      <c r="C18" s="79">
        <f t="shared" si="1"/>
        <v>6571.148418927196</v>
      </c>
      <c r="D18" s="72">
        <f t="shared" si="2"/>
        <v>0</v>
      </c>
      <c r="E18" s="72">
        <f t="shared" si="3"/>
        <v>1054.071645524878</v>
      </c>
      <c r="F18" s="72">
        <f>(1-K3)*C18*K4</f>
        <v>216.84789782459748</v>
      </c>
      <c r="G18" s="72">
        <f t="shared" si="4"/>
        <v>-770.0000000000001</v>
      </c>
      <c r="H18" s="72"/>
      <c r="I18" s="69"/>
      <c r="J18" s="74">
        <f t="shared" si="5"/>
        <v>2040.9195433494756</v>
      </c>
      <c r="K18" s="72">
        <f>J18*P18</f>
        <v>1674.2648775687207</v>
      </c>
      <c r="L18" s="75">
        <f t="shared" si="8"/>
        <v>4346.7763641979145</v>
      </c>
      <c r="M18" s="74">
        <f t="shared" si="6"/>
        <v>770</v>
      </c>
      <c r="N18" s="72">
        <f t="shared" si="0"/>
        <v>631.6681909038696</v>
      </c>
      <c r="O18" s="80">
        <f t="shared" si="9"/>
        <v>-6313.409545193476</v>
      </c>
      <c r="P18" s="78">
        <f t="shared" si="7"/>
        <v>0.8203482998751553</v>
      </c>
    </row>
    <row r="19" spans="1:16" s="107" customFormat="1" ht="15.75">
      <c r="A19" s="67">
        <v>11</v>
      </c>
      <c r="B19" s="68">
        <v>45078</v>
      </c>
      <c r="C19" s="79">
        <f t="shared" si="1"/>
        <v>6525.150379994706</v>
      </c>
      <c r="D19" s="72">
        <f t="shared" si="2"/>
        <v>0</v>
      </c>
      <c r="E19" s="72">
        <f t="shared" si="3"/>
        <v>1075.1530784353756</v>
      </c>
      <c r="F19" s="72">
        <f>(1-K3)*C19*K4</f>
        <v>215.32996253982532</v>
      </c>
      <c r="G19" s="72">
        <f t="shared" si="4"/>
        <v>-770.0000000000001</v>
      </c>
      <c r="H19" s="72"/>
      <c r="I19" s="69"/>
      <c r="J19" s="74">
        <f t="shared" si="5"/>
        <v>2060.483040975201</v>
      </c>
      <c r="K19" s="72">
        <f>J19*P19</f>
        <v>1657.1703525348987</v>
      </c>
      <c r="L19" s="75">
        <f t="shared" si="8"/>
        <v>6003.946716732813</v>
      </c>
      <c r="M19" s="74">
        <f t="shared" si="6"/>
        <v>770.0000000000002</v>
      </c>
      <c r="N19" s="72">
        <f t="shared" si="0"/>
        <v>619.2825401018332</v>
      </c>
      <c r="O19" s="80">
        <f t="shared" si="9"/>
        <v>-5694.127005091643</v>
      </c>
      <c r="P19" s="78">
        <f t="shared" si="7"/>
        <v>0.8042630390932897</v>
      </c>
    </row>
    <row r="20" spans="1:16" s="107" customFormat="1" ht="15.75">
      <c r="A20" s="67">
        <v>12</v>
      </c>
      <c r="B20" s="68">
        <v>45444</v>
      </c>
      <c r="C20" s="79">
        <f t="shared" si="1"/>
        <v>6479.474327334743</v>
      </c>
      <c r="D20" s="72">
        <f t="shared" si="2"/>
        <v>0</v>
      </c>
      <c r="E20" s="72">
        <f t="shared" si="3"/>
        <v>1096.6561400040832</v>
      </c>
      <c r="F20" s="72">
        <f>(1-K3)*C20*K4</f>
        <v>213.82265280204655</v>
      </c>
      <c r="G20" s="72"/>
      <c r="H20" s="72"/>
      <c r="I20" s="69"/>
      <c r="J20" s="74">
        <f t="shared" si="5"/>
        <v>1310.4787928061298</v>
      </c>
      <c r="K20" s="72">
        <f>J20*P20</f>
        <v>1033.3035848721208</v>
      </c>
      <c r="L20" s="75">
        <f t="shared" si="8"/>
        <v>7037.250301604934</v>
      </c>
      <c r="M20" s="74">
        <f t="shared" si="6"/>
        <v>0</v>
      </c>
      <c r="N20" s="72">
        <f t="shared" si="0"/>
        <v>0</v>
      </c>
      <c r="O20" s="80">
        <f t="shared" si="9"/>
        <v>-5694.127005091643</v>
      </c>
      <c r="P20" s="78">
        <f t="shared" si="7"/>
        <v>0.7884931755816564</v>
      </c>
    </row>
    <row r="21" spans="1:16" s="107" customFormat="1" ht="16.5" thickBot="1">
      <c r="A21" s="67">
        <v>13</v>
      </c>
      <c r="B21" s="68">
        <v>45809</v>
      </c>
      <c r="C21" s="79">
        <f t="shared" si="1"/>
        <v>6434.1180070434</v>
      </c>
      <c r="D21" s="72">
        <f t="shared" si="2"/>
        <v>0</v>
      </c>
      <c r="E21" s="72">
        <f t="shared" si="3"/>
        <v>1118.589262804165</v>
      </c>
      <c r="F21" s="72">
        <f>(1-K3)*C21*K4</f>
        <v>212.32589423243226</v>
      </c>
      <c r="G21" s="72"/>
      <c r="H21" s="72"/>
      <c r="I21" s="69"/>
      <c r="J21" s="74">
        <f t="shared" si="5"/>
        <v>1330.9151570365973</v>
      </c>
      <c r="K21" s="72">
        <f>J21*P21</f>
        <v>1028.8407045113192</v>
      </c>
      <c r="L21" s="75">
        <f t="shared" si="8"/>
        <v>8066.091006116253</v>
      </c>
      <c r="M21" s="74">
        <f t="shared" si="6"/>
        <v>0</v>
      </c>
      <c r="N21" s="72">
        <f t="shared" si="0"/>
        <v>0</v>
      </c>
      <c r="O21" s="81">
        <f t="shared" si="9"/>
        <v>-5694.127005091643</v>
      </c>
      <c r="P21" s="78">
        <f t="shared" si="7"/>
        <v>0.7730325250800554</v>
      </c>
    </row>
    <row r="22" spans="1:16" s="107" customFormat="1" ht="15">
      <c r="A22" s="82">
        <v>14</v>
      </c>
      <c r="B22" s="83">
        <v>46174</v>
      </c>
      <c r="C22" s="84">
        <f t="shared" si="1"/>
        <v>6389.0791809940965</v>
      </c>
      <c r="D22" s="72">
        <f t="shared" si="2"/>
        <v>0</v>
      </c>
      <c r="E22" s="85">
        <f t="shared" si="3"/>
        <v>1140.9610480602482</v>
      </c>
      <c r="F22" s="72">
        <f>(1-K3)*C22*K4</f>
        <v>210.8396129728052</v>
      </c>
      <c r="G22" s="85"/>
      <c r="H22" s="85"/>
      <c r="I22" s="86"/>
      <c r="J22" s="85">
        <f t="shared" si="5"/>
        <v>1351.8006610330535</v>
      </c>
      <c r="K22" s="85">
        <f>J22*P22</f>
        <v>1024.4959592188914</v>
      </c>
      <c r="L22" s="87">
        <f t="shared" si="8"/>
        <v>9090.586965335144</v>
      </c>
      <c r="M22" s="85">
        <f t="shared" si="6"/>
        <v>0</v>
      </c>
      <c r="N22" s="85">
        <f t="shared" si="0"/>
        <v>0</v>
      </c>
      <c r="O22" s="87">
        <f t="shared" si="9"/>
        <v>-5694.127005091643</v>
      </c>
      <c r="P22" s="88">
        <f t="shared" si="7"/>
        <v>0.7578750245882895</v>
      </c>
    </row>
    <row r="23" spans="1:16" ht="15.75">
      <c r="A23" s="67">
        <v>15</v>
      </c>
      <c r="B23" s="68">
        <v>46539</v>
      </c>
      <c r="C23" s="79">
        <f t="shared" si="1"/>
        <v>6344.355626727138</v>
      </c>
      <c r="D23" s="72">
        <f t="shared" si="2"/>
        <v>0</v>
      </c>
      <c r="E23" s="72">
        <f t="shared" si="3"/>
        <v>1163.7802690214533</v>
      </c>
      <c r="F23" s="72">
        <f>(1-K3)*C23*K4</f>
        <v>209.36373568199556</v>
      </c>
      <c r="G23" s="72"/>
      <c r="H23" s="72"/>
      <c r="I23" s="69"/>
      <c r="J23" s="74">
        <f t="shared" si="5"/>
        <v>1373.144004703449</v>
      </c>
      <c r="K23" s="72">
        <f>J23*P23</f>
        <v>1020.2662218900871</v>
      </c>
      <c r="L23" s="75">
        <f t="shared" si="8"/>
        <v>10110.853187225232</v>
      </c>
      <c r="M23" s="74">
        <f t="shared" si="6"/>
        <v>0</v>
      </c>
      <c r="N23" s="72">
        <f t="shared" si="0"/>
        <v>0</v>
      </c>
      <c r="O23" s="75">
        <f t="shared" si="9"/>
        <v>-5694.127005091643</v>
      </c>
      <c r="P23" s="78">
        <f t="shared" si="7"/>
        <v>0.7430147299885193</v>
      </c>
    </row>
    <row r="24" spans="1:16" ht="15.75">
      <c r="A24" s="67">
        <v>16</v>
      </c>
      <c r="B24" s="68">
        <v>46905</v>
      </c>
      <c r="C24" s="79">
        <f t="shared" si="1"/>
        <v>6299.945137340048</v>
      </c>
      <c r="D24" s="72">
        <f t="shared" si="2"/>
        <v>0</v>
      </c>
      <c r="E24" s="72">
        <f t="shared" si="3"/>
        <v>1187.0558744018824</v>
      </c>
      <c r="F24" s="72">
        <f>(1-K3)*C24*K4</f>
        <v>207.89818953222164</v>
      </c>
      <c r="G24" s="72"/>
      <c r="H24" s="72"/>
      <c r="I24" s="69"/>
      <c r="J24" s="74">
        <f t="shared" si="5"/>
        <v>1394.954063934104</v>
      </c>
      <c r="K24" s="72">
        <f>J24*P24</f>
        <v>1016.1484481964566</v>
      </c>
      <c r="L24" s="75">
        <f t="shared" si="8"/>
        <v>11127.001635421688</v>
      </c>
      <c r="M24" s="74">
        <f t="shared" si="6"/>
        <v>0</v>
      </c>
      <c r="N24" s="72">
        <f t="shared" si="0"/>
        <v>0</v>
      </c>
      <c r="O24" s="75">
        <f t="shared" si="9"/>
        <v>-5694.127005091643</v>
      </c>
      <c r="P24" s="78">
        <f t="shared" si="7"/>
        <v>0.7284458137142344</v>
      </c>
    </row>
    <row r="25" spans="1:16" ht="15.75">
      <c r="A25" s="67">
        <v>17</v>
      </c>
      <c r="B25" s="68">
        <v>47270</v>
      </c>
      <c r="C25" s="79">
        <f t="shared" si="1"/>
        <v>6255.845521378667</v>
      </c>
      <c r="D25" s="72">
        <f t="shared" si="2"/>
        <v>0</v>
      </c>
      <c r="E25" s="72">
        <f t="shared" si="3"/>
        <v>1210.79699188992</v>
      </c>
      <c r="F25" s="72">
        <f>(1-K3)*C25*K4</f>
        <v>206.44290220549607</v>
      </c>
      <c r="G25" s="72"/>
      <c r="H25" s="72"/>
      <c r="I25" s="69"/>
      <c r="J25" s="74">
        <f t="shared" si="5"/>
        <v>1417.239894095416</v>
      </c>
      <c r="K25" s="72">
        <f>J25*P25</f>
        <v>1012.1396743947164</v>
      </c>
      <c r="L25" s="75">
        <f t="shared" si="8"/>
        <v>12139.141309816405</v>
      </c>
      <c r="M25" s="74">
        <f t="shared" si="6"/>
        <v>0</v>
      </c>
      <c r="N25" s="72">
        <f t="shared" si="0"/>
        <v>0</v>
      </c>
      <c r="O25" s="75">
        <f t="shared" si="9"/>
        <v>-5694.127005091643</v>
      </c>
      <c r="P25" s="78">
        <f t="shared" si="7"/>
        <v>0.7141625624649357</v>
      </c>
    </row>
    <row r="26" spans="1:16" ht="15.75">
      <c r="A26" s="67">
        <v>18</v>
      </c>
      <c r="B26" s="68">
        <v>47635</v>
      </c>
      <c r="C26" s="79">
        <f t="shared" si="1"/>
        <v>6212.054602729017</v>
      </c>
      <c r="D26" s="72">
        <f t="shared" si="2"/>
        <v>0</v>
      </c>
      <c r="E26" s="72">
        <f t="shared" si="3"/>
        <v>1235.0129317277185</v>
      </c>
      <c r="F26" s="72">
        <f>(1-K3)*C26*K4</f>
        <v>204.9978018900576</v>
      </c>
      <c r="G26" s="72"/>
      <c r="H26" s="72"/>
      <c r="I26" s="69"/>
      <c r="J26" s="74">
        <f t="shared" si="5"/>
        <v>1440.0107336177762</v>
      </c>
      <c r="K26" s="72">
        <f>J26*P26</f>
        <v>1008.2370151936109</v>
      </c>
      <c r="L26" s="75">
        <f t="shared" si="8"/>
        <v>13147.378325010015</v>
      </c>
      <c r="M26" s="74">
        <f t="shared" si="6"/>
        <v>0</v>
      </c>
      <c r="N26" s="72">
        <f t="shared" si="0"/>
        <v>0</v>
      </c>
      <c r="O26" s="75">
        <f t="shared" si="9"/>
        <v>-5694.127005091643</v>
      </c>
      <c r="P26" s="78">
        <f t="shared" si="7"/>
        <v>0.7001593749656233</v>
      </c>
    </row>
    <row r="27" spans="1:16" ht="15.75">
      <c r="A27" s="67">
        <v>19</v>
      </c>
      <c r="B27" s="68">
        <v>48000</v>
      </c>
      <c r="C27" s="79">
        <f t="shared" si="1"/>
        <v>6168.570220509913</v>
      </c>
      <c r="D27" s="72">
        <f t="shared" si="2"/>
        <v>0</v>
      </c>
      <c r="E27" s="72">
        <f t="shared" si="3"/>
        <v>1259.7131903622728</v>
      </c>
      <c r="F27" s="72">
        <f>(1-K3)*C27*K4</f>
        <v>203.56281727682716</v>
      </c>
      <c r="G27" s="72"/>
      <c r="H27" s="72"/>
      <c r="I27" s="69"/>
      <c r="J27" s="74">
        <f t="shared" si="5"/>
        <v>1463.2760076391</v>
      </c>
      <c r="K27" s="72">
        <f>J27*P27</f>
        <v>1004.4376616772402</v>
      </c>
      <c r="L27" s="75">
        <f t="shared" si="8"/>
        <v>14151.815986687256</v>
      </c>
      <c r="M27" s="74">
        <f t="shared" si="6"/>
        <v>0</v>
      </c>
      <c r="N27" s="72">
        <f t="shared" si="0"/>
        <v>0</v>
      </c>
      <c r="O27" s="75">
        <f t="shared" si="9"/>
        <v>-5694.127005091643</v>
      </c>
      <c r="P27" s="78">
        <f t="shared" si="7"/>
        <v>0.686430759770219</v>
      </c>
    </row>
    <row r="28" spans="1:16" ht="15">
      <c r="A28" s="89">
        <v>20</v>
      </c>
      <c r="B28" s="90">
        <v>48366</v>
      </c>
      <c r="C28" s="91">
        <f t="shared" si="1"/>
        <v>6125.390228966344</v>
      </c>
      <c r="D28" s="72">
        <f t="shared" si="2"/>
        <v>0</v>
      </c>
      <c r="E28" s="92">
        <f t="shared" si="3"/>
        <v>1284.9074541695184</v>
      </c>
      <c r="F28" s="72">
        <f>(1-K3)*C28*K4</f>
        <v>202.13787755588936</v>
      </c>
      <c r="G28" s="92"/>
      <c r="H28" s="92"/>
      <c r="I28" s="93"/>
      <c r="J28" s="92">
        <f t="shared" si="5"/>
        <v>1487.0453317254078</v>
      </c>
      <c r="K28" s="92">
        <f>J28*P28</f>
        <v>1000.7388792833617</v>
      </c>
      <c r="L28" s="94">
        <f t="shared" si="8"/>
        <v>15152.554865970618</v>
      </c>
      <c r="M28" s="92">
        <f t="shared" si="6"/>
        <v>0</v>
      </c>
      <c r="N28" s="92">
        <f t="shared" si="0"/>
        <v>0</v>
      </c>
      <c r="O28" s="94">
        <f t="shared" si="9"/>
        <v>-5694.127005091643</v>
      </c>
      <c r="P28" s="95">
        <f t="shared" si="7"/>
        <v>0.6729713331080578</v>
      </c>
    </row>
    <row r="29" spans="1:16" ht="19.5" thickBot="1">
      <c r="A29" s="96" t="s">
        <v>11</v>
      </c>
      <c r="B29" s="97"/>
      <c r="C29" s="98">
        <f>SUM(C8:C28)</f>
        <v>131069.64323377435</v>
      </c>
      <c r="D29" s="99">
        <f>SUM(D8:D28)</f>
        <v>0</v>
      </c>
      <c r="E29" s="99">
        <f>SUM(E9:E28)</f>
        <v>21430.280162645427</v>
      </c>
      <c r="F29" s="99">
        <f>SUM(F9:F28)</f>
        <v>4325.298226714554</v>
      </c>
      <c r="G29" s="99">
        <f>SUM(G8:G28)</f>
        <v>-9240.000000000002</v>
      </c>
      <c r="H29" s="99"/>
      <c r="I29" s="99">
        <f>SUM(I8:I28)</f>
        <v>14000</v>
      </c>
      <c r="J29" s="100">
        <f>_XLL.TIR.X(J8:J28,B8:B28)</f>
        <v>0.12579512000083923</v>
      </c>
      <c r="K29" s="101">
        <f>_XLL.TIR.X(K8:K28,B8:B28)</f>
        <v>0.1037320911884308</v>
      </c>
      <c r="L29" s="102"/>
      <c r="M29" s="100">
        <f>_XLL.TIR.X(M8:M28,B8:B28)</f>
        <v>-0.06779228150844575</v>
      </c>
      <c r="N29" s="101">
        <f>_XLL.TIR.X(N8:N28,B8:B28)</f>
        <v>-0.08606158196926117</v>
      </c>
      <c r="O29" s="102"/>
      <c r="P29" s="103"/>
    </row>
    <row r="30" spans="6:14" ht="23.25">
      <c r="F30" s="2">
        <f>D29+F29+E29</f>
        <v>25755.57838935998</v>
      </c>
      <c r="G30" s="6" t="s">
        <v>17</v>
      </c>
      <c r="H30" s="5"/>
      <c r="K30" s="9" t="s">
        <v>20</v>
      </c>
      <c r="L30" s="8"/>
      <c r="M30" s="8"/>
      <c r="N30" s="7"/>
    </row>
    <row r="31" spans="3:14" ht="15">
      <c r="C31" t="s">
        <v>23</v>
      </c>
      <c r="F31" s="10">
        <f>C3</f>
        <v>1440</v>
      </c>
      <c r="G31" s="1" t="s">
        <v>22</v>
      </c>
      <c r="H31" s="11">
        <f>'Calcolo contributo GSE'!B36</f>
        <v>558</v>
      </c>
      <c r="N31" s="12"/>
    </row>
  </sheetData>
  <sheetProtection/>
  <mergeCells count="8">
    <mergeCell ref="G7:H7"/>
    <mergeCell ref="I6:K6"/>
    <mergeCell ref="L6:N6"/>
    <mergeCell ref="A2:B2"/>
    <mergeCell ref="A3:B3"/>
    <mergeCell ref="A4:B4"/>
    <mergeCell ref="A5:B5"/>
    <mergeCell ref="A6:B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1" r:id="rId3"/>
  <ignoredErrors>
    <ignoredError sqref="F2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4"/>
  <sheetViews>
    <sheetView view="pageBreakPreview" zoomScaleSheetLayoutView="100" zoomScalePageLayoutView="0" workbookViewId="0" topLeftCell="A7">
      <selection activeCell="B35" sqref="B35"/>
    </sheetView>
  </sheetViews>
  <sheetFormatPr defaultColWidth="11.57421875" defaultRowHeight="15"/>
  <cols>
    <col min="1" max="1" width="39.7109375" style="13" customWidth="1"/>
    <col min="2" max="2" width="14.57421875" style="13" customWidth="1"/>
    <col min="3" max="4" width="11.57421875" style="13" customWidth="1"/>
    <col min="5" max="5" width="8.00390625" style="13" customWidth="1"/>
    <col min="6" max="6" width="18.140625" style="13" customWidth="1"/>
    <col min="7" max="7" width="11.57421875" style="13" customWidth="1"/>
    <col min="8" max="8" width="15.421875" style="13" customWidth="1"/>
    <col min="9" max="9" width="15.140625" style="13" customWidth="1"/>
    <col min="10" max="10" width="9.8515625" style="13" customWidth="1"/>
    <col min="11" max="11" width="7.140625" style="13" customWidth="1"/>
    <col min="12" max="12" width="16.8515625" style="13" customWidth="1"/>
    <col min="13" max="16384" width="11.57421875" style="13" customWidth="1"/>
  </cols>
  <sheetData>
    <row r="1" ht="12.75"/>
    <row r="2" ht="12.75"/>
    <row r="3" ht="12.75"/>
    <row r="4" ht="12.75"/>
    <row r="5" spans="8:10" ht="12.75">
      <c r="H5" s="35"/>
      <c r="I5" s="35"/>
      <c r="J5" s="35"/>
    </row>
    <row r="6" spans="8:10" ht="12.75">
      <c r="H6" s="15"/>
      <c r="I6" s="15"/>
      <c r="J6" s="15"/>
    </row>
    <row r="7" spans="8:10" ht="12.75">
      <c r="H7" s="15"/>
      <c r="I7" s="15"/>
      <c r="J7" s="15"/>
    </row>
    <row r="8" spans="8:10" ht="26.25">
      <c r="H8" s="15"/>
      <c r="I8" s="16">
        <f>'Rendimento impianto'!C4</f>
        <v>8000</v>
      </c>
      <c r="J8" s="34" t="s">
        <v>47</v>
      </c>
    </row>
    <row r="9" spans="8:10" ht="12.75">
      <c r="H9" s="15"/>
      <c r="I9" s="15"/>
      <c r="J9" s="15"/>
    </row>
    <row r="10" spans="8:14" ht="26.25">
      <c r="H10" s="15"/>
      <c r="I10" s="15"/>
      <c r="J10" s="15"/>
      <c r="N10" s="34" t="s">
        <v>42</v>
      </c>
    </row>
    <row r="11" spans="8:10" ht="12.75">
      <c r="H11" s="15"/>
      <c r="I11" s="15"/>
      <c r="J11" s="15"/>
    </row>
    <row r="12" ht="12.75"/>
    <row r="13" ht="12.75"/>
    <row r="14" spans="7:12" ht="26.25">
      <c r="G14" s="34" t="s">
        <v>51</v>
      </c>
      <c r="L14" s="34" t="s">
        <v>48</v>
      </c>
    </row>
    <row r="15" ht="12.75"/>
    <row r="16" spans="8:12" ht="26.25">
      <c r="H16" s="14">
        <f>'Rendimento impianto'!E9/'Rendimento impianto'!M2</f>
        <v>4900</v>
      </c>
      <c r="L16" s="14">
        <f>I8-H16</f>
        <v>3100</v>
      </c>
    </row>
    <row r="17" ht="12.75"/>
    <row r="18" ht="26.25">
      <c r="F18" s="14">
        <f>'Rendimento impianto'!C9</f>
        <v>7000</v>
      </c>
    </row>
    <row r="19" spans="5:12" ht="26.25">
      <c r="E19" s="34" t="s">
        <v>50</v>
      </c>
      <c r="L19" s="14">
        <f>F18-H16</f>
        <v>2100</v>
      </c>
    </row>
    <row r="20" spans="1:6" ht="12.75">
      <c r="A20" s="32" t="s">
        <v>38</v>
      </c>
      <c r="B20" s="33">
        <f>F18</f>
        <v>7000</v>
      </c>
      <c r="C20" s="32" t="s">
        <v>39</v>
      </c>
      <c r="D20" s="17"/>
      <c r="E20" s="17"/>
      <c r="F20" s="17"/>
    </row>
    <row r="21" spans="1:12" ht="26.25">
      <c r="A21" s="32" t="s">
        <v>37</v>
      </c>
      <c r="B21" s="33">
        <f>I8</f>
        <v>8000</v>
      </c>
      <c r="C21" s="32" t="s">
        <v>39</v>
      </c>
      <c r="D21" s="17"/>
      <c r="E21" s="17"/>
      <c r="F21" s="17"/>
      <c r="L21" s="34" t="s">
        <v>49</v>
      </c>
    </row>
    <row r="22" spans="1:6" ht="12.75">
      <c r="A22" s="32" t="s">
        <v>36</v>
      </c>
      <c r="B22" s="33">
        <f>L16</f>
        <v>3100</v>
      </c>
      <c r="C22" s="32" t="s">
        <v>39</v>
      </c>
      <c r="D22" s="17"/>
      <c r="E22" s="17"/>
      <c r="F22" s="17"/>
    </row>
    <row r="23" spans="1:6" ht="12.75">
      <c r="A23" s="32" t="s">
        <v>35</v>
      </c>
      <c r="B23" s="33">
        <f>H16</f>
        <v>4900</v>
      </c>
      <c r="C23" s="32" t="s">
        <v>39</v>
      </c>
      <c r="D23" s="17"/>
      <c r="E23" s="17"/>
      <c r="F23" s="17"/>
    </row>
    <row r="24" spans="1:6" ht="12.75">
      <c r="A24" s="32" t="s">
        <v>34</v>
      </c>
      <c r="B24" s="33">
        <f>L19</f>
        <v>2100</v>
      </c>
      <c r="C24" s="32" t="s">
        <v>39</v>
      </c>
      <c r="D24" s="17"/>
      <c r="E24" s="17"/>
      <c r="F24" s="17"/>
    </row>
    <row r="25" spans="1:3" ht="12.75">
      <c r="A25" s="32" t="s">
        <v>25</v>
      </c>
      <c r="B25" s="32">
        <f>'Rendimento impianto'!M2</f>
        <v>0.18</v>
      </c>
      <c r="C25" s="32"/>
    </row>
    <row r="26" spans="1:2" ht="15.75">
      <c r="A26" s="28" t="s">
        <v>43</v>
      </c>
      <c r="B26" s="19">
        <f>'Rendimento impianto'!M2</f>
        <v>0.18</v>
      </c>
    </row>
    <row r="27" spans="1:8" ht="15.75">
      <c r="A27" s="28" t="s">
        <v>44</v>
      </c>
      <c r="B27" s="19">
        <v>0.1</v>
      </c>
      <c r="C27" s="18"/>
      <c r="D27" s="18"/>
      <c r="E27" s="18"/>
      <c r="F27" s="18"/>
      <c r="G27" s="18"/>
      <c r="H27" s="18"/>
    </row>
    <row r="28" spans="1:8" ht="15.75">
      <c r="A28" s="28" t="s">
        <v>45</v>
      </c>
      <c r="B28" s="19">
        <v>0.063</v>
      </c>
      <c r="C28" s="18"/>
      <c r="D28" s="18"/>
      <c r="E28" s="18"/>
      <c r="F28" s="18"/>
      <c r="G28" s="18"/>
      <c r="H28" s="18"/>
    </row>
    <row r="29" spans="1:8" ht="15.75">
      <c r="A29" s="28" t="s">
        <v>40</v>
      </c>
      <c r="B29" s="19">
        <v>28</v>
      </c>
      <c r="C29" s="18"/>
      <c r="D29" s="18"/>
      <c r="E29" s="18"/>
      <c r="F29" s="18"/>
      <c r="G29" s="18"/>
      <c r="H29" s="18"/>
    </row>
    <row r="30" spans="3:8" ht="15.75">
      <c r="C30" s="18"/>
      <c r="D30" s="18"/>
      <c r="E30" s="18"/>
      <c r="F30" s="18"/>
      <c r="G30" s="18"/>
      <c r="H30" s="18"/>
    </row>
    <row r="31" spans="1:8" ht="15.75">
      <c r="A31" s="20" t="s">
        <v>32</v>
      </c>
      <c r="B31" s="21">
        <f>B22*B26-B29</f>
        <v>530</v>
      </c>
      <c r="C31" s="22"/>
      <c r="D31" s="22"/>
      <c r="E31" s="22"/>
      <c r="F31" s="22"/>
      <c r="G31" s="22"/>
      <c r="H31" s="18"/>
    </row>
    <row r="32" spans="1:8" ht="15.75">
      <c r="A32" s="20" t="s">
        <v>33</v>
      </c>
      <c r="B32" s="21">
        <f>B24*B27*1.051</f>
        <v>220.70999999999998</v>
      </c>
      <c r="C32" s="22"/>
      <c r="D32" s="22"/>
      <c r="E32" s="22"/>
      <c r="F32" s="22"/>
      <c r="G32" s="22"/>
      <c r="H32" s="18"/>
    </row>
    <row r="33" spans="1:8" ht="15.75">
      <c r="A33" s="20" t="s">
        <v>46</v>
      </c>
      <c r="B33" s="23">
        <f>MIN(L16,L19)</f>
        <v>2100</v>
      </c>
      <c r="C33" s="20" t="s">
        <v>31</v>
      </c>
      <c r="D33" s="20"/>
      <c r="E33" s="20"/>
      <c r="F33" s="20"/>
      <c r="G33" s="22"/>
      <c r="H33" s="18"/>
    </row>
    <row r="34" spans="1:8" ht="15.75">
      <c r="A34" s="24" t="s">
        <v>30</v>
      </c>
      <c r="B34" s="25">
        <f>IF(B32&gt;B31,B32-B31,0)</f>
        <v>0</v>
      </c>
      <c r="C34" s="26"/>
      <c r="D34" s="26"/>
      <c r="E34" s="26"/>
      <c r="F34" s="26"/>
      <c r="G34" s="26"/>
      <c r="H34" s="18"/>
    </row>
    <row r="35" spans="1:8" ht="15.75">
      <c r="A35" s="24" t="s">
        <v>29</v>
      </c>
      <c r="B35" s="31">
        <v>0</v>
      </c>
      <c r="C35" s="26" t="s">
        <v>28</v>
      </c>
      <c r="D35" s="26"/>
      <c r="E35" s="26"/>
      <c r="F35" s="26"/>
      <c r="G35" s="26"/>
      <c r="H35" s="18"/>
    </row>
    <row r="36" spans="1:8" ht="15.75">
      <c r="A36" s="18" t="s">
        <v>27</v>
      </c>
      <c r="B36" s="29">
        <f>B22*B25</f>
        <v>558</v>
      </c>
      <c r="C36" s="18"/>
      <c r="D36" s="18"/>
      <c r="E36" s="18"/>
      <c r="F36" s="18"/>
      <c r="G36" s="18"/>
      <c r="H36" s="18"/>
    </row>
    <row r="37" spans="1:8" ht="15.75">
      <c r="A37" s="28" t="s">
        <v>41</v>
      </c>
      <c r="B37" s="30">
        <f>B36-B35</f>
        <v>558</v>
      </c>
      <c r="C37" s="18"/>
      <c r="H37" s="18"/>
    </row>
    <row r="38" ht="15.75">
      <c r="H38" s="18"/>
    </row>
    <row r="39" spans="1:8" ht="15.75">
      <c r="A39" s="18"/>
      <c r="B39" s="27"/>
      <c r="H39" s="18"/>
    </row>
    <row r="40" spans="1:8" ht="15.75">
      <c r="A40" s="18"/>
      <c r="B40" s="27"/>
      <c r="C40" s="18"/>
      <c r="D40" s="18"/>
      <c r="E40" s="18"/>
      <c r="F40" s="18"/>
      <c r="G40" s="18"/>
      <c r="H40" s="18"/>
    </row>
    <row r="41" spans="4:8" ht="15.75">
      <c r="D41" s="18"/>
      <c r="E41" s="18"/>
      <c r="F41" s="18"/>
      <c r="G41" s="18"/>
      <c r="H41" s="18"/>
    </row>
    <row r="42" spans="1:8" ht="15.75">
      <c r="A42" s="18"/>
      <c r="B42" s="18"/>
      <c r="C42" s="18"/>
      <c r="D42" s="18"/>
      <c r="E42" s="18"/>
      <c r="F42" s="18"/>
      <c r="G42" s="18"/>
      <c r="H42" s="18"/>
    </row>
    <row r="43" spans="1:8" ht="15.75">
      <c r="A43" s="28"/>
      <c r="B43" s="28"/>
      <c r="C43" s="18"/>
      <c r="D43" s="18"/>
      <c r="E43" s="18"/>
      <c r="F43" s="18"/>
      <c r="G43" s="18"/>
      <c r="H43" s="18"/>
    </row>
    <row r="44" spans="1:8" ht="15.75">
      <c r="A44" s="18"/>
      <c r="B44" s="18"/>
      <c r="C44" s="18"/>
      <c r="D44" s="18"/>
      <c r="E44" s="18"/>
      <c r="F44" s="18"/>
      <c r="G44" s="18"/>
      <c r="H44" s="18"/>
    </row>
    <row r="45" spans="3:8" ht="15.75">
      <c r="C45" s="18"/>
      <c r="D45" s="18"/>
      <c r="E45" s="18"/>
      <c r="F45" s="18"/>
      <c r="G45" s="18"/>
      <c r="H45" s="18"/>
    </row>
    <row r="46" spans="3:8" ht="15.75">
      <c r="C46" s="18"/>
      <c r="D46" s="18"/>
      <c r="E46" s="18"/>
      <c r="F46" s="18"/>
      <c r="G46" s="18"/>
      <c r="H46" s="18"/>
    </row>
    <row r="47" spans="3:8" ht="15.75">
      <c r="C47" s="18"/>
      <c r="D47" s="18"/>
      <c r="E47" s="18"/>
      <c r="F47" s="18"/>
      <c r="G47" s="18"/>
      <c r="H47" s="18"/>
    </row>
    <row r="48" spans="3:8" ht="15.75">
      <c r="C48" s="18"/>
      <c r="D48" s="18"/>
      <c r="E48" s="18"/>
      <c r="F48" s="18"/>
      <c r="G48" s="18"/>
      <c r="H48" s="18"/>
    </row>
    <row r="49" spans="3:8" ht="15.75">
      <c r="C49" s="18"/>
      <c r="D49" s="18"/>
      <c r="E49" s="18"/>
      <c r="F49" s="18"/>
      <c r="G49" s="18"/>
      <c r="H49" s="18"/>
    </row>
    <row r="50" spans="3:8" ht="15.75">
      <c r="C50" s="18"/>
      <c r="D50" s="18"/>
      <c r="E50" s="18"/>
      <c r="F50" s="18"/>
      <c r="G50" s="18"/>
      <c r="H50" s="18"/>
    </row>
    <row r="51" ht="15.75">
      <c r="H51" s="18"/>
    </row>
    <row r="52" spans="1:8" ht="15.75">
      <c r="A52" s="18"/>
      <c r="B52" s="18"/>
      <c r="C52" s="18"/>
      <c r="D52" s="18"/>
      <c r="E52" s="18"/>
      <c r="F52" s="18"/>
      <c r="G52" s="18"/>
      <c r="H52" s="18"/>
    </row>
    <row r="53" spans="1:8" ht="15.75">
      <c r="A53" s="18"/>
      <c r="B53" s="18"/>
      <c r="C53" s="18"/>
      <c r="D53" s="18"/>
      <c r="E53" s="18"/>
      <c r="F53" s="18"/>
      <c r="G53" s="18"/>
      <c r="H53" s="18"/>
    </row>
    <row r="54" spans="1:8" ht="15.75">
      <c r="A54" s="18"/>
      <c r="B54" s="18"/>
      <c r="C54" s="18"/>
      <c r="D54" s="18"/>
      <c r="E54" s="18"/>
      <c r="F54" s="18"/>
      <c r="G54" s="18"/>
      <c r="H54" s="18"/>
    </row>
  </sheetData>
  <sheetProtection/>
  <printOptions/>
  <pageMargins left="0.3937007874015748" right="0.3937007874015748" top="0.3937007874015748" bottom="0.3937007874015748" header="0.3937007874015748" footer="0.3937007874015748"/>
  <pageSetup firstPageNumber="1" useFirstPageNumber="1" fitToHeight="1" fitToWidth="1" horizontalDpi="300" verticalDpi="300" orientation="landscape" paperSize="9" scale="64" r:id="rId4"/>
  <headerFooter alignWithMargins="0">
    <oddHeader>&amp;C&amp;"Times New Roman,Normale"&amp;12&amp;A</oddHeader>
    <oddFooter>&amp;C&amp;"Times New Roman,Normale"&amp;12Pagina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UFFICIO TECNICO</cp:lastModifiedBy>
  <cp:lastPrinted>2012-07-16T16:57:55Z</cp:lastPrinted>
  <dcterms:created xsi:type="dcterms:W3CDTF">2009-09-17T08:20:25Z</dcterms:created>
  <dcterms:modified xsi:type="dcterms:W3CDTF">2012-07-19T12:06:08Z</dcterms:modified>
  <cp:category/>
  <cp:version/>
  <cp:contentType/>
  <cp:contentStatus/>
</cp:coreProperties>
</file>