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4.2" sheetId="1" r:id="rId1"/>
    <sheet name="Calcoli Titolo II" sheetId="6" r:id="rId2"/>
  </sheets>
  <definedNames>
    <definedName name="_xlnm.Print_Area" localSheetId="0">'Simulazione 4.2'!$A$1:$X$75</definedName>
  </definedNames>
  <calcPr calcId="125725" forceFullCalc="1"/>
</workbook>
</file>

<file path=xl/calcChain.xml><?xml version="1.0" encoding="utf-8"?>
<calcChain xmlns="http://schemas.openxmlformats.org/spreadsheetml/2006/main">
  <c r="E70" i="1"/>
  <c r="O77" i="6"/>
  <c r="N72"/>
  <c r="P72" s="1"/>
  <c r="N76"/>
  <c r="P76" s="1"/>
  <c r="N75"/>
  <c r="P75" s="1"/>
  <c r="N74"/>
  <c r="P74" s="1"/>
  <c r="N73"/>
  <c r="P73" s="1"/>
  <c r="X54" i="1"/>
  <c r="L72" i="6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H37" i="1"/>
  <c r="F79" i="6"/>
  <c r="F78"/>
  <c r="D81" s="1"/>
  <c r="C40" i="1"/>
  <c r="E67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P77" l="1"/>
  <c r="C42" i="1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H38" i="1" l="1"/>
  <c r="H39" s="1"/>
  <c r="E69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H51" s="1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1" i="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H65" i="6" l="1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R1" s="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O65" l="1"/>
  <c r="O51"/>
  <c r="I65"/>
  <c r="I51"/>
  <c r="N39"/>
  <c r="N29"/>
  <c r="H39"/>
  <c r="O19"/>
  <c r="H29"/>
  <c r="N19"/>
  <c r="I19"/>
  <c r="H19"/>
  <c r="H82"/>
  <c r="G85"/>
  <c r="R27"/>
  <c r="C30" i="1"/>
  <c r="F25" l="1"/>
  <c r="F26"/>
  <c r="E25"/>
  <c r="E26"/>
  <c r="Q52" i="6"/>
  <c r="S52" s="1"/>
  <c r="Q53"/>
  <c r="S53" s="1"/>
  <c r="I82"/>
  <c r="H85"/>
  <c r="C41" i="1"/>
  <c r="E52"/>
  <c r="S55" i="6" l="1"/>
  <c r="C33" i="1" s="1"/>
  <c r="C35" s="1"/>
  <c r="J82" i="6"/>
  <c r="I85"/>
  <c r="F52" i="1"/>
  <c r="E68"/>
  <c r="U68"/>
  <c r="Q68"/>
  <c r="M68"/>
  <c r="I68"/>
  <c r="V68"/>
  <c r="R68"/>
  <c r="N68"/>
  <c r="J68"/>
  <c r="F68"/>
  <c r="W68"/>
  <c r="S68"/>
  <c r="O68"/>
  <c r="K68"/>
  <c r="G68"/>
  <c r="X68"/>
  <c r="T68"/>
  <c r="P68"/>
  <c r="L68"/>
  <c r="H68"/>
  <c r="G52" l="1"/>
  <c r="E53"/>
  <c r="E58" s="1"/>
  <c r="C34"/>
  <c r="K82" i="6"/>
  <c r="J85"/>
  <c r="H52" i="1" l="1"/>
  <c r="F53"/>
  <c r="L82" i="6"/>
  <c r="K85"/>
  <c r="I52" i="1" l="1"/>
  <c r="F58"/>
  <c r="E54"/>
  <c r="G53"/>
  <c r="M82" i="6"/>
  <c r="L85"/>
  <c r="J52" i="1" l="1"/>
  <c r="G58"/>
  <c r="F54"/>
  <c r="H53"/>
  <c r="N82" i="6"/>
  <c r="M85"/>
  <c r="H58" i="1" l="1"/>
  <c r="G54"/>
  <c r="K52"/>
  <c r="I53"/>
  <c r="O82" i="6"/>
  <c r="N85"/>
  <c r="L52" i="1" l="1"/>
  <c r="I58"/>
  <c r="H54"/>
  <c r="J53"/>
  <c r="P82" i="6"/>
  <c r="O85"/>
  <c r="J58" i="1" l="1"/>
  <c r="I54"/>
  <c r="M52"/>
  <c r="K53"/>
  <c r="Q82" i="6"/>
  <c r="P85"/>
  <c r="K58" i="1" l="1"/>
  <c r="J54"/>
  <c r="N52"/>
  <c r="L53"/>
  <c r="R82" i="6"/>
  <c r="Q85"/>
  <c r="L58" i="1" l="1"/>
  <c r="K54"/>
  <c r="O52"/>
  <c r="M53"/>
  <c r="S82" i="6"/>
  <c r="R85"/>
  <c r="P52" i="1" l="1"/>
  <c r="M58"/>
  <c r="L54"/>
  <c r="N53"/>
  <c r="T82" i="6"/>
  <c r="S85"/>
  <c r="N58" i="1" l="1"/>
  <c r="M54"/>
  <c r="Q52"/>
  <c r="O53"/>
  <c r="U82" i="6"/>
  <c r="T85"/>
  <c r="R52" i="1" l="1"/>
  <c r="P53"/>
  <c r="Q53" s="1"/>
  <c r="Q58" s="1"/>
  <c r="N54"/>
  <c r="O58"/>
  <c r="V82" i="6"/>
  <c r="U85"/>
  <c r="S52" i="1" l="1"/>
  <c r="P54"/>
  <c r="P58"/>
  <c r="O54"/>
  <c r="R53"/>
  <c r="R58" s="1"/>
  <c r="W82" i="6"/>
  <c r="W85" s="1"/>
  <c r="V85"/>
  <c r="Q54" i="1" l="1"/>
  <c r="T52"/>
  <c r="S53"/>
  <c r="S58" s="1"/>
  <c r="U52" l="1"/>
  <c r="R54"/>
  <c r="T53"/>
  <c r="T58" s="1"/>
  <c r="S54" l="1"/>
  <c r="V52"/>
  <c r="U53"/>
  <c r="U58" s="1"/>
  <c r="D26"/>
  <c r="D25"/>
  <c r="T54" l="1"/>
  <c r="W52"/>
  <c r="V53"/>
  <c r="V58" s="1"/>
  <c r="E57"/>
  <c r="U57"/>
  <c r="Q57"/>
  <c r="M57"/>
  <c r="I57"/>
  <c r="R57"/>
  <c r="N57"/>
  <c r="J57"/>
  <c r="F57"/>
  <c r="S57"/>
  <c r="O57"/>
  <c r="K57"/>
  <c r="G57"/>
  <c r="T57"/>
  <c r="P57"/>
  <c r="L57"/>
  <c r="H57"/>
  <c r="E56"/>
  <c r="Q56"/>
  <c r="M56"/>
  <c r="I56"/>
  <c r="R56"/>
  <c r="N56"/>
  <c r="J56"/>
  <c r="F56"/>
  <c r="S56"/>
  <c r="O56"/>
  <c r="K56"/>
  <c r="G56"/>
  <c r="T56"/>
  <c r="P56"/>
  <c r="L56"/>
  <c r="H56"/>
  <c r="U54" l="1"/>
  <c r="U56" s="1"/>
  <c r="U59" s="1"/>
  <c r="X52"/>
  <c r="V57"/>
  <c r="W53"/>
  <c r="W57" s="1"/>
  <c r="E59"/>
  <c r="F59"/>
  <c r="I59"/>
  <c r="O59"/>
  <c r="L59"/>
  <c r="G59"/>
  <c r="R59"/>
  <c r="Q59"/>
  <c r="T59"/>
  <c r="J59"/>
  <c r="P59"/>
  <c r="K59"/>
  <c r="H59"/>
  <c r="S59"/>
  <c r="N59"/>
  <c r="M59"/>
  <c r="V54" l="1"/>
  <c r="V56" s="1"/>
  <c r="V59" s="1"/>
  <c r="X53"/>
  <c r="X58" s="1"/>
  <c r="W58"/>
  <c r="W54" l="1"/>
  <c r="W56" s="1"/>
  <c r="W59" s="1"/>
  <c r="X57"/>
  <c r="X56"/>
  <c r="X59" l="1"/>
  <c r="D88" i="6"/>
  <c r="E61" i="1" s="1"/>
  <c r="E88" i="6" l="1"/>
  <c r="F61" i="1" s="1"/>
  <c r="E67" i="6" s="1"/>
  <c r="F62" i="1" s="1"/>
  <c r="F88" i="6"/>
  <c r="G61" i="1" s="1"/>
  <c r="F64" l="1"/>
  <c r="F65"/>
  <c r="E92" i="6"/>
  <c r="E94" s="1"/>
  <c r="E95" s="1"/>
  <c r="F67"/>
  <c r="G62" i="1" s="1"/>
  <c r="G88" i="6"/>
  <c r="H61" i="1" s="1"/>
  <c r="D67" i="6"/>
  <c r="E62" i="1" s="1"/>
  <c r="G64" l="1"/>
  <c r="G65"/>
  <c r="E65"/>
  <c r="E64"/>
  <c r="E103" i="6"/>
  <c r="E104" s="1"/>
  <c r="E97"/>
  <c r="E98" s="1"/>
  <c r="E106"/>
  <c r="F92"/>
  <c r="F103" s="1"/>
  <c r="F104" s="1"/>
  <c r="E100"/>
  <c r="E101" s="1"/>
  <c r="D92"/>
  <c r="D106" s="1"/>
  <c r="G67"/>
  <c r="H62" i="1" s="1"/>
  <c r="H88" i="6"/>
  <c r="I61" i="1" s="1"/>
  <c r="H64" l="1"/>
  <c r="H65"/>
  <c r="D97" i="6"/>
  <c r="D98" s="1"/>
  <c r="F106"/>
  <c r="F107" s="1"/>
  <c r="D100"/>
  <c r="D101" s="1"/>
  <c r="D103"/>
  <c r="D104" s="1"/>
  <c r="F97"/>
  <c r="F98" s="1"/>
  <c r="E107"/>
  <c r="E110" s="1"/>
  <c r="F63" i="1" s="1"/>
  <c r="D94" i="6"/>
  <c r="D95" s="1"/>
  <c r="F100"/>
  <c r="F101" s="1"/>
  <c r="F94"/>
  <c r="F95" s="1"/>
  <c r="G92"/>
  <c r="H67"/>
  <c r="I62" i="1" s="1"/>
  <c r="I88" i="6"/>
  <c r="J61" i="1" s="1"/>
  <c r="I65" l="1"/>
  <c r="I64"/>
  <c r="F72"/>
  <c r="F110" i="6"/>
  <c r="G63" i="1" s="1"/>
  <c r="G106" i="6"/>
  <c r="G100"/>
  <c r="G101" s="1"/>
  <c r="G94"/>
  <c r="G95" s="1"/>
  <c r="G103"/>
  <c r="G104" s="1"/>
  <c r="G97"/>
  <c r="G98" s="1"/>
  <c r="H92"/>
  <c r="I67"/>
  <c r="J62" i="1" s="1"/>
  <c r="J88" i="6"/>
  <c r="K61" i="1" s="1"/>
  <c r="D107" i="6"/>
  <c r="D110" s="1"/>
  <c r="E63" i="1" s="1"/>
  <c r="J64" l="1"/>
  <c r="J65"/>
  <c r="G72"/>
  <c r="E72"/>
  <c r="E75" s="1"/>
  <c r="G107" i="6"/>
  <c r="G110" s="1"/>
  <c r="H63" i="1" s="1"/>
  <c r="J67" i="6"/>
  <c r="K62" i="1" s="1"/>
  <c r="K88" i="6"/>
  <c r="L61" i="1" s="1"/>
  <c r="H106" i="6"/>
  <c r="H94"/>
  <c r="H95" s="1"/>
  <c r="H100"/>
  <c r="H101" s="1"/>
  <c r="H97"/>
  <c r="H98" s="1"/>
  <c r="H103"/>
  <c r="H104" s="1"/>
  <c r="I92"/>
  <c r="K65" i="1" l="1"/>
  <c r="K64"/>
  <c r="H72"/>
  <c r="C114" i="6"/>
  <c r="F75" i="1"/>
  <c r="D114" i="6" s="1"/>
  <c r="H107"/>
  <c r="H110" s="1"/>
  <c r="I63" i="1" s="1"/>
  <c r="J92" i="6"/>
  <c r="I94"/>
  <c r="I95" s="1"/>
  <c r="I97"/>
  <c r="I98" s="1"/>
  <c r="I100"/>
  <c r="I101" s="1"/>
  <c r="I106"/>
  <c r="I107" s="1"/>
  <c r="I103"/>
  <c r="I104" s="1"/>
  <c r="K67"/>
  <c r="L62" i="1" s="1"/>
  <c r="L88" i="6"/>
  <c r="M61" i="1" s="1"/>
  <c r="L64" l="1"/>
  <c r="L65"/>
  <c r="I72"/>
  <c r="G75"/>
  <c r="I110" i="6"/>
  <c r="J63" i="1" s="1"/>
  <c r="L67" i="6"/>
  <c r="M62" i="1" s="1"/>
  <c r="M88" i="6"/>
  <c r="N61" i="1" s="1"/>
  <c r="J94" i="6"/>
  <c r="J95" s="1"/>
  <c r="J97"/>
  <c r="J98" s="1"/>
  <c r="J106"/>
  <c r="J103"/>
  <c r="J104" s="1"/>
  <c r="J100"/>
  <c r="J101" s="1"/>
  <c r="K92"/>
  <c r="E114" l="1"/>
  <c r="M65" i="1"/>
  <c r="M64"/>
  <c r="H75"/>
  <c r="F114" i="6" s="1"/>
  <c r="J72" i="1"/>
  <c r="L92" i="6"/>
  <c r="M67"/>
  <c r="N62" i="1" s="1"/>
  <c r="N88" i="6"/>
  <c r="O61" i="1" s="1"/>
  <c r="K106" i="6"/>
  <c r="K94"/>
  <c r="K95" s="1"/>
  <c r="K100"/>
  <c r="K101" s="1"/>
  <c r="K97"/>
  <c r="K98" s="1"/>
  <c r="K103"/>
  <c r="K104" s="1"/>
  <c r="J107"/>
  <c r="J110" s="1"/>
  <c r="K63" i="1" s="1"/>
  <c r="N64" l="1"/>
  <c r="N65"/>
  <c r="I75"/>
  <c r="K72"/>
  <c r="K107" i="6"/>
  <c r="K110" s="1"/>
  <c r="L63" i="1" s="1"/>
  <c r="L106" i="6"/>
  <c r="L103"/>
  <c r="L104" s="1"/>
  <c r="L94"/>
  <c r="L95" s="1"/>
  <c r="L100"/>
  <c r="L101" s="1"/>
  <c r="L97"/>
  <c r="L98" s="1"/>
  <c r="M92"/>
  <c r="N67"/>
  <c r="O62" i="1" s="1"/>
  <c r="O88" i="6"/>
  <c r="P61" i="1" s="1"/>
  <c r="G114" i="6" l="1"/>
  <c r="O64" i="1"/>
  <c r="O65"/>
  <c r="J75"/>
  <c r="H114" i="6" s="1"/>
  <c r="L72" i="1"/>
  <c r="L107" i="6"/>
  <c r="L110" s="1"/>
  <c r="M63" i="1" s="1"/>
  <c r="N92" i="6"/>
  <c r="O67"/>
  <c r="P62" i="1" s="1"/>
  <c r="P88" i="6"/>
  <c r="Q61" i="1" s="1"/>
  <c r="M100" i="6"/>
  <c r="M101" s="1"/>
  <c r="M103"/>
  <c r="M104" s="1"/>
  <c r="M94"/>
  <c r="M95" s="1"/>
  <c r="M106"/>
  <c r="M97"/>
  <c r="M98" s="1"/>
  <c r="P64" i="1" l="1"/>
  <c r="P65"/>
  <c r="K75"/>
  <c r="M72"/>
  <c r="M107" i="6"/>
  <c r="M110" s="1"/>
  <c r="N63" i="1" s="1"/>
  <c r="P67" i="6"/>
  <c r="Q62" i="1" s="1"/>
  <c r="Q88" i="6"/>
  <c r="R61" i="1" s="1"/>
  <c r="N106" i="6"/>
  <c r="N100"/>
  <c r="N101" s="1"/>
  <c r="N97"/>
  <c r="N98" s="1"/>
  <c r="N103"/>
  <c r="N104" s="1"/>
  <c r="N94"/>
  <c r="N95" s="1"/>
  <c r="O92"/>
  <c r="I114" l="1"/>
  <c r="Q65" i="1"/>
  <c r="Q64"/>
  <c r="L75"/>
  <c r="M75" s="1"/>
  <c r="N72"/>
  <c r="N107" i="6"/>
  <c r="N110" s="1"/>
  <c r="O63" i="1" s="1"/>
  <c r="O103" i="6"/>
  <c r="O104" s="1"/>
  <c r="O106"/>
  <c r="O107" s="1"/>
  <c r="O94"/>
  <c r="O95" s="1"/>
  <c r="O100"/>
  <c r="O101" s="1"/>
  <c r="O97"/>
  <c r="O98" s="1"/>
  <c r="P92"/>
  <c r="Q67"/>
  <c r="R62" i="1" s="1"/>
  <c r="R88" i="6"/>
  <c r="S61" i="1" s="1"/>
  <c r="R65" l="1"/>
  <c r="R64"/>
  <c r="J114" i="6"/>
  <c r="O72" i="1"/>
  <c r="N75"/>
  <c r="K114" i="6"/>
  <c r="Q92"/>
  <c r="R67"/>
  <c r="S62" i="1" s="1"/>
  <c r="S88" i="6"/>
  <c r="T61" i="1" s="1"/>
  <c r="P106" i="6"/>
  <c r="P107" s="1"/>
  <c r="P97"/>
  <c r="P98" s="1"/>
  <c r="P94"/>
  <c r="P95" s="1"/>
  <c r="P100"/>
  <c r="P101" s="1"/>
  <c r="P103"/>
  <c r="P104" s="1"/>
  <c r="O110"/>
  <c r="P63" i="1" s="1"/>
  <c r="S64" l="1"/>
  <c r="S65"/>
  <c r="P72"/>
  <c r="O75"/>
  <c r="L114" i="6"/>
  <c r="P110"/>
  <c r="Q63" i="1" s="1"/>
  <c r="Q106" i="6"/>
  <c r="Q107" s="1"/>
  <c r="Q100"/>
  <c r="Q101" s="1"/>
  <c r="Q94"/>
  <c r="Q95" s="1"/>
  <c r="Q97"/>
  <c r="Q98" s="1"/>
  <c r="Q103"/>
  <c r="Q104" s="1"/>
  <c r="R92"/>
  <c r="T88"/>
  <c r="U61" i="1" s="1"/>
  <c r="S67" i="6"/>
  <c r="T62" i="1" s="1"/>
  <c r="T65" l="1"/>
  <c r="T64"/>
  <c r="Q72"/>
  <c r="P75"/>
  <c r="M114" i="6"/>
  <c r="S92"/>
  <c r="R106"/>
  <c r="R107" s="1"/>
  <c r="R103"/>
  <c r="R104" s="1"/>
  <c r="R94"/>
  <c r="R95" s="1"/>
  <c r="R97"/>
  <c r="R98" s="1"/>
  <c r="R100"/>
  <c r="R101" s="1"/>
  <c r="T67"/>
  <c r="U62" i="1" s="1"/>
  <c r="U88" i="6"/>
  <c r="V61" i="1" s="1"/>
  <c r="Q110" i="6"/>
  <c r="R63" i="1" s="1"/>
  <c r="U64" l="1"/>
  <c r="U65"/>
  <c r="R72"/>
  <c r="Q75"/>
  <c r="N114" i="6"/>
  <c r="S106"/>
  <c r="S107" s="1"/>
  <c r="S97"/>
  <c r="S98" s="1"/>
  <c r="S94"/>
  <c r="S95" s="1"/>
  <c r="S103"/>
  <c r="S104" s="1"/>
  <c r="S100"/>
  <c r="S101" s="1"/>
  <c r="U67"/>
  <c r="V62" i="1" s="1"/>
  <c r="V88" i="6"/>
  <c r="W61" i="1" s="1"/>
  <c r="T92" i="6"/>
  <c r="R110"/>
  <c r="S63" i="1" s="1"/>
  <c r="V64" l="1"/>
  <c r="V65"/>
  <c r="S72"/>
  <c r="R75"/>
  <c r="O114" i="6"/>
  <c r="S110"/>
  <c r="T63" i="1" s="1"/>
  <c r="U92" i="6"/>
  <c r="V67"/>
  <c r="W62" i="1" s="1"/>
  <c r="W88" i="6"/>
  <c r="T106"/>
  <c r="T107" s="1"/>
  <c r="T94"/>
  <c r="T95" s="1"/>
  <c r="T97"/>
  <c r="T98" s="1"/>
  <c r="T100"/>
  <c r="T101" s="1"/>
  <c r="T103"/>
  <c r="T104" s="1"/>
  <c r="W64" i="1" l="1"/>
  <c r="W65"/>
  <c r="X61"/>
  <c r="W67" i="6" s="1"/>
  <c r="X62" i="1" s="1"/>
  <c r="T72"/>
  <c r="S75"/>
  <c r="P114" i="6"/>
  <c r="U106"/>
  <c r="U107" s="1"/>
  <c r="U97"/>
  <c r="U98" s="1"/>
  <c r="U94"/>
  <c r="U95" s="1"/>
  <c r="U103"/>
  <c r="U104" s="1"/>
  <c r="U100"/>
  <c r="U101" s="1"/>
  <c r="V92"/>
  <c r="T110"/>
  <c r="U63" i="1" s="1"/>
  <c r="X64" l="1"/>
  <c r="X65"/>
  <c r="W92" i="6"/>
  <c r="W97" s="1"/>
  <c r="W98" s="1"/>
  <c r="U72" i="1"/>
  <c r="T75"/>
  <c r="Q114" i="6"/>
  <c r="V106"/>
  <c r="V107" s="1"/>
  <c r="V100"/>
  <c r="V101" s="1"/>
  <c r="V97"/>
  <c r="V98" s="1"/>
  <c r="V94"/>
  <c r="V95" s="1"/>
  <c r="V103"/>
  <c r="V104" s="1"/>
  <c r="U110"/>
  <c r="V63" i="1" s="1"/>
  <c r="W94" i="6" l="1"/>
  <c r="W95" s="1"/>
  <c r="W106"/>
  <c r="W107" s="1"/>
  <c r="W103"/>
  <c r="W104" s="1"/>
  <c r="W100"/>
  <c r="W101" s="1"/>
  <c r="V72" i="1"/>
  <c r="U75"/>
  <c r="R114" i="6"/>
  <c r="V110"/>
  <c r="W63" i="1" s="1"/>
  <c r="W110" i="6" l="1"/>
  <c r="X63" i="1" s="1"/>
  <c r="W72"/>
  <c r="V75"/>
  <c r="S114" i="6"/>
  <c r="X72" i="1" l="1"/>
  <c r="W75"/>
  <c r="T114" i="6"/>
  <c r="X75" i="1" l="1"/>
  <c r="U114" i="6"/>
  <c r="V114" l="1"/>
</calcChain>
</file>

<file path=xl/sharedStrings.xml><?xml version="1.0" encoding="utf-8"?>
<sst xmlns="http://schemas.openxmlformats.org/spreadsheetml/2006/main" count="362" uniqueCount="152">
  <si>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</si>
  <si>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</si>
  <si>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</si>
  <si>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</si>
  <si>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</si>
  <si>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</si>
  <si>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</si>
  <si>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</si>
  <si>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</si>
  <si>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</si>
  <si>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</si>
  <si>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</si>
  <si>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</si>
  <si>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</si>
  <si>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</si>
  <si>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</si>
  <si>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</si>
  <si>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</si>
  <si>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</si>
  <si>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</si>
  <si>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</si>
  <si>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</si>
  <si>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</si>
  <si>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</si>
  <si>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</si>
  <si>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</si>
  <si>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</si>
  <si>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</si>
  <si>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</si>
  <si>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</si>
  <si>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</si>
  <si>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</si>
  <si>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</si>
  <si>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</si>
  <si>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</si>
  <si>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</si>
  <si>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</si>
  <si>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</si>
  <si>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</si>
  <si>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</si>
  <si>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</si>
  <si>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</si>
  <si>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</si>
  <si>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Cassa (entrate-uscite)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</si>
  <si>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</si>
  <si>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</si>
  <si>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</si>
  <si>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</si>
  <si>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</si>
  <si>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</si>
  <si>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</si>
  <si>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</si>
  <si>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</si>
  <si>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</si>
  <si>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</si>
  <si>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</si>
  <si>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</si>
  <si>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</si>
  <si>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</si>
  <si>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</si>
  <si>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</si>
  <si>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</si>
  <si>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</si>
  <si>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</si>
  <si>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</si>
  <si>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</si>
  <si>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</si>
  <si>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</si>
  <si>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</si>
  <si>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</si>
  <si>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</si>
  <si>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</si>
  <si>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</si>
  <si>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</si>
  <si>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</si>
  <si>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</si>
  <si>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</si>
  <si>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</si>
  <si>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</si>
  <si>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</si>
  <si>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</si>
  <si>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</si>
  <si>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</si>
  <si>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</si>
  <si>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</si>
  <si>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</si>
  <si>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</si>
  <si>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</si>
  <si>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</si>
  <si>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</si>
  <si>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</si>
  <si>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</si>
  <si>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</si>
  <si>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</si>
  <si>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</si>
  <si>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</si>
  <si>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</si>
  <si>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</si>
  <si>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Totale spese + tasse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</si>
  <si>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</si>
  <si>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</si>
  <si>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</si>
  <si>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</si>
  <si>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</si>
  <si>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</si>
  <si>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</si>
  <si>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</si>
  <si>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</si>
  <si>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</si>
  <si>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</si>
  <si>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</si>
  <si>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</si>
  <si>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</si>
  <si>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</si>
  <si>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</si>
  <si>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</si>
  <si>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</si>
  <si>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</si>
  <si>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</si>
  <si>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</si>
  <si>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</si>
  <si>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</si>
  <si>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Altri costi</t>
  </si>
  <si>
    <t>TOTALE……………………………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</si>
  <si>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</si>
  <si>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</si>
  <si>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</si>
  <si>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</si>
  <si>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</si>
  <si>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</si>
  <si>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</si>
  <si>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</si>
  <si>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</si>
  <si>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</si>
  <si>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</si>
  <si>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</si>
  <si>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</si>
  <si>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</si>
  <si>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</si>
  <si>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Azienda Agricola (no ammortamento)</t>
  </si>
  <si>
    <t>Amministrazioni Pubbliche</t>
  </si>
  <si>
    <t>Irap</t>
  </si>
  <si>
    <t>Irpef</t>
  </si>
  <si>
    <t>Ires</t>
  </si>
  <si>
    <t>Nessuna</t>
  </si>
  <si>
    <t>PV-Xcel 4.0 -  Calcolo impianto fotovoltaico Quinto Conto Energia</t>
  </si>
  <si>
    <t>Smaltiento Amianto, opere edili, etc</t>
  </si>
  <si>
    <t>Oneri connessione Enel</t>
  </si>
  <si>
    <t>Oneri Enel allacciamento (stima)</t>
  </si>
  <si>
    <t>Potenza già disponibile</t>
  </si>
  <si>
    <t>Potenza impianto fotovoltaico</t>
  </si>
  <si>
    <t>Allacciamento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</si>
</sst>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164" fontId="7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5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3" borderId="0" xfId="0" applyNumberFormat="1" applyFont="1" applyFill="1" applyBorder="1" applyAlignment="1" applyProtection="1"/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1" fillId="0" borderId="4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7" fontId="4" fillId="3" borderId="18" xfId="0" applyNumberFormat="1" applyFont="1" applyFill="1" applyBorder="1" applyAlignment="1" applyProtection="1"/>
    <xf numFmtId="167" fontId="4" fillId="3" borderId="17" xfId="0" applyNumberFormat="1" applyFont="1" applyFill="1" applyBorder="1" applyAlignment="1" applyProtection="1">
      <alignment horizontal="righ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7" fontId="4" fillId="3" borderId="0" xfId="0" applyNumberFormat="1" applyFont="1" applyFill="1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75"/>
  <sheetViews>
    <sheetView tabSelected="1" topLeftCell="A37" zoomScaleNormal="100" workbookViewId="0">
      <selection activeCell="P43" sqref="P43"/>
    </sheetView>
  </sheetViews>
  <sheetFormatPr defaultRowHeight="15"/>
  <cols>
    <col min="1" max="1" width="14.7109375" style="7" customWidth="1"/>
    <col min="2" max="2" width="20.7109375" style="7" customWidth="1"/>
    <col min="3" max="3" width="8.140625" style="7" customWidth="1"/>
    <col min="4" max="4" width="6.140625" style="7" customWidth="1"/>
    <col min="5" max="24" width="9.7109375" style="7" customWidth="1"/>
    <col min="25" max="27" width="9.140625" style="7" customWidth="1"/>
    <col min="28" max="16384" width="9.140625" style="7"/>
  </cols>
  <sheetData>
    <row r="1" spans="1:17" s="2" customFormat="1" ht="18.75">
      <c r="A1" s="2" t="s">
        <v>145</v>
      </c>
    </row>
    <row r="2" spans="1:17" ht="13.5" customHeight="1" thickBot="1"/>
    <row r="3" spans="1:17" ht="16.5" thickBot="1">
      <c r="A3" s="9" t="s">
        <v>150</v>
      </c>
      <c r="B3" s="10"/>
      <c r="C3" s="143">
        <v>10</v>
      </c>
      <c r="D3" s="11" t="s">
        <v>12</v>
      </c>
      <c r="H3" s="88"/>
      <c r="I3" s="22" t="s">
        <v>69</v>
      </c>
      <c r="J3" s="22"/>
      <c r="K3" s="22"/>
      <c r="L3" s="105"/>
      <c r="M3" s="87"/>
      <c r="N3" s="22" t="s">
        <v>70</v>
      </c>
      <c r="O3" s="22"/>
      <c r="P3" s="22"/>
      <c r="Q3" s="22"/>
    </row>
    <row r="4" spans="1:17" ht="16.5" thickBot="1">
      <c r="A4" s="9" t="s">
        <v>149</v>
      </c>
      <c r="B4" s="10"/>
      <c r="C4" s="62">
        <v>3</v>
      </c>
      <c r="D4" s="11" t="s">
        <v>12</v>
      </c>
      <c r="H4" s="110"/>
      <c r="I4" s="22"/>
      <c r="J4" s="22"/>
      <c r="K4" s="22"/>
      <c r="L4" s="28"/>
      <c r="M4" s="110"/>
      <c r="N4" s="22"/>
      <c r="O4" s="22"/>
      <c r="P4" s="22"/>
      <c r="Q4" s="22"/>
    </row>
    <row r="5" spans="1:17" ht="9.75" customHeight="1" thickBot="1">
      <c r="A5" s="12"/>
      <c r="B5" s="12"/>
      <c r="C5" s="13"/>
      <c r="D5" s="12"/>
      <c r="J5" s="104"/>
      <c r="K5" s="104"/>
      <c r="L5" s="104"/>
    </row>
    <row r="6" spans="1:17" ht="15.75" customHeight="1">
      <c r="A6" s="14"/>
      <c r="B6" s="15"/>
      <c r="C6" s="15"/>
      <c r="D6" s="15"/>
      <c r="E6" s="16"/>
      <c r="F6" s="17"/>
      <c r="H6" s="106"/>
      <c r="I6" s="107"/>
      <c r="J6" s="108"/>
      <c r="K6" s="108"/>
      <c r="L6" s="109"/>
      <c r="M6" s="16"/>
      <c r="N6" s="16"/>
      <c r="O6" s="17"/>
    </row>
    <row r="7" spans="1:17" ht="15.75">
      <c r="A7" s="146" t="s">
        <v>14</v>
      </c>
      <c r="B7" s="147"/>
      <c r="C7" s="147"/>
      <c r="D7" s="12"/>
      <c r="E7" s="3"/>
      <c r="F7" s="8"/>
      <c r="H7" s="23" t="s">
        <v>99</v>
      </c>
      <c r="I7" s="3"/>
      <c r="J7" s="3"/>
      <c r="K7" s="3"/>
      <c r="L7" s="3"/>
      <c r="M7" s="3"/>
      <c r="N7" s="3"/>
      <c r="O7" s="8"/>
    </row>
    <row r="8" spans="1:17" ht="15.75">
      <c r="A8" s="130"/>
      <c r="B8" s="12"/>
      <c r="C8" s="12"/>
      <c r="D8" s="12"/>
      <c r="E8" s="3"/>
      <c r="F8" s="8"/>
      <c r="H8" s="23"/>
      <c r="I8" s="3"/>
      <c r="J8" s="3"/>
      <c r="K8" s="3"/>
      <c r="L8" s="3"/>
      <c r="M8" s="3"/>
      <c r="N8" s="3"/>
      <c r="O8" s="8"/>
    </row>
    <row r="9" spans="1:17" ht="15.75">
      <c r="A9" s="146" t="s">
        <v>13</v>
      </c>
      <c r="B9" s="147"/>
      <c r="C9" s="147"/>
      <c r="D9" s="12"/>
      <c r="E9" s="3"/>
      <c r="F9" s="8"/>
      <c r="H9" s="23" t="s">
        <v>92</v>
      </c>
      <c r="I9" s="3"/>
      <c r="J9" s="3"/>
      <c r="K9" s="132">
        <v>9</v>
      </c>
      <c r="L9" s="3" t="s">
        <v>66</v>
      </c>
      <c r="M9" s="3"/>
      <c r="N9" s="110"/>
      <c r="O9" s="8"/>
    </row>
    <row r="10" spans="1:17" ht="15.75">
      <c r="A10" s="130"/>
      <c r="B10" s="12"/>
      <c r="C10" s="12"/>
      <c r="D10" s="12"/>
      <c r="E10" s="3"/>
      <c r="F10" s="8"/>
      <c r="H10" s="23"/>
      <c r="I10" s="3"/>
      <c r="J10" s="3"/>
      <c r="K10" s="115"/>
      <c r="L10" s="3"/>
      <c r="M10" s="3"/>
      <c r="N10" s="3"/>
      <c r="O10" s="8"/>
    </row>
    <row r="11" spans="1:17" ht="15.75">
      <c r="A11" s="133" t="s">
        <v>131</v>
      </c>
      <c r="B11" s="12"/>
      <c r="C11" s="12"/>
      <c r="D11" s="12"/>
      <c r="E11" s="3"/>
      <c r="F11" s="8"/>
      <c r="H11" s="23"/>
      <c r="I11" s="3"/>
      <c r="J11" s="3"/>
      <c r="K11" s="115"/>
      <c r="L11" s="3"/>
      <c r="M11" s="3"/>
      <c r="N11" s="3"/>
      <c r="O11" s="8"/>
    </row>
    <row r="12" spans="1:17" ht="15.75">
      <c r="A12" s="133"/>
      <c r="B12" s="12"/>
      <c r="C12" s="12"/>
      <c r="D12" s="12"/>
      <c r="E12" s="3"/>
      <c r="F12" s="8"/>
      <c r="H12" s="23"/>
      <c r="I12" s="3"/>
      <c r="J12" s="3"/>
      <c r="K12" s="115"/>
      <c r="L12" s="3"/>
      <c r="M12" s="3"/>
      <c r="N12" s="3"/>
      <c r="O12" s="8"/>
    </row>
    <row r="13" spans="1:17" ht="15.75">
      <c r="A13" s="146" t="s">
        <v>130</v>
      </c>
      <c r="B13" s="147"/>
      <c r="C13" s="147"/>
      <c r="D13" s="12"/>
      <c r="E13" s="3"/>
      <c r="F13" s="8"/>
      <c r="H13" s="23" t="s">
        <v>104</v>
      </c>
      <c r="I13" s="3"/>
      <c r="J13" s="3"/>
      <c r="K13" s="116"/>
      <c r="L13" s="132">
        <v>23</v>
      </c>
      <c r="M13" s="3" t="s">
        <v>66</v>
      </c>
      <c r="N13" s="3"/>
      <c r="O13" s="8"/>
    </row>
    <row r="14" spans="1:17" ht="15.75">
      <c r="A14" s="23"/>
      <c r="B14" s="3"/>
      <c r="C14" s="3"/>
      <c r="D14" s="3"/>
      <c r="E14" s="3"/>
      <c r="F14" s="8"/>
      <c r="H14" s="23" t="s">
        <v>105</v>
      </c>
      <c r="I14" s="3"/>
      <c r="J14" s="3"/>
      <c r="K14" s="116"/>
      <c r="L14" s="132">
        <v>27</v>
      </c>
      <c r="M14" s="3" t="s">
        <v>66</v>
      </c>
      <c r="N14" s="3"/>
      <c r="O14" s="8"/>
    </row>
    <row r="15" spans="1:17" ht="15.75">
      <c r="A15" s="146" t="s">
        <v>81</v>
      </c>
      <c r="B15" s="147"/>
      <c r="C15" s="147"/>
      <c r="D15" s="12"/>
      <c r="E15" s="3"/>
      <c r="F15" s="8"/>
      <c r="H15" s="23" t="s">
        <v>106</v>
      </c>
      <c r="I15" s="3"/>
      <c r="J15" s="3"/>
      <c r="K15" s="116"/>
      <c r="L15" s="132">
        <v>38</v>
      </c>
      <c r="M15" s="3" t="s">
        <v>66</v>
      </c>
      <c r="N15" s="3"/>
      <c r="O15" s="8"/>
    </row>
    <row r="16" spans="1:17" ht="15.75">
      <c r="A16" s="23"/>
      <c r="B16" s="3"/>
      <c r="C16" s="3"/>
      <c r="D16" s="3"/>
      <c r="E16" s="3"/>
      <c r="F16" s="8"/>
      <c r="H16" s="23" t="s">
        <v>107</v>
      </c>
      <c r="I16" s="3"/>
      <c r="J16" s="3"/>
      <c r="K16" s="116"/>
      <c r="L16" s="132">
        <v>41</v>
      </c>
      <c r="M16" s="3" t="s">
        <v>66</v>
      </c>
      <c r="N16" s="3"/>
      <c r="O16" s="8"/>
    </row>
    <row r="17" spans="1:19" ht="15.75">
      <c r="A17" s="25"/>
      <c r="B17" s="26"/>
      <c r="C17" s="26"/>
      <c r="D17" s="3"/>
      <c r="E17" s="3"/>
      <c r="F17" s="8"/>
      <c r="H17" s="23" t="s">
        <v>108</v>
      </c>
      <c r="I17" s="3"/>
      <c r="J17" s="3"/>
      <c r="K17" s="116"/>
      <c r="L17" s="132">
        <v>43</v>
      </c>
      <c r="M17" s="3" t="s">
        <v>66</v>
      </c>
      <c r="N17" s="3"/>
      <c r="O17" s="8"/>
    </row>
    <row r="18" spans="1:19" ht="15.75">
      <c r="A18" s="146" t="s">
        <v>18</v>
      </c>
      <c r="B18" s="147"/>
      <c r="C18" s="147"/>
      <c r="D18" s="3"/>
      <c r="E18" s="3"/>
      <c r="F18" s="8"/>
      <c r="H18" s="23"/>
      <c r="I18" s="3"/>
      <c r="J18" s="3"/>
      <c r="K18" s="3"/>
      <c r="L18" s="3"/>
      <c r="M18" s="3"/>
      <c r="N18" s="3"/>
      <c r="O18" s="8"/>
    </row>
    <row r="19" spans="1:19" ht="15.75">
      <c r="A19" s="23"/>
      <c r="B19" s="3"/>
      <c r="C19" s="3"/>
      <c r="D19" s="3"/>
      <c r="E19" s="3"/>
      <c r="F19" s="8"/>
      <c r="H19" s="112" t="s">
        <v>100</v>
      </c>
      <c r="I19" s="3"/>
      <c r="J19" s="3"/>
      <c r="K19" s="132">
        <v>3.9</v>
      </c>
      <c r="L19" s="3" t="s">
        <v>66</v>
      </c>
      <c r="M19" s="3"/>
      <c r="N19" s="3"/>
      <c r="O19" s="8"/>
    </row>
    <row r="20" spans="1:19" ht="15.75" customHeight="1">
      <c r="A20" s="23"/>
      <c r="B20" s="3"/>
      <c r="C20" s="3"/>
      <c r="D20" s="3"/>
      <c r="E20" s="3"/>
      <c r="F20" s="8"/>
      <c r="H20" s="23"/>
      <c r="I20" s="3"/>
      <c r="J20" s="3"/>
      <c r="K20" s="3"/>
      <c r="L20" s="3"/>
      <c r="M20" s="3"/>
      <c r="N20" s="3"/>
      <c r="O20" s="8"/>
    </row>
    <row r="21" spans="1:19" ht="17.25" customHeight="1">
      <c r="A21" s="23"/>
      <c r="B21" s="3"/>
      <c r="C21" s="3"/>
      <c r="D21" s="3"/>
      <c r="E21" s="3"/>
      <c r="F21" s="8"/>
      <c r="H21" s="112" t="s">
        <v>124</v>
      </c>
      <c r="I21" s="3"/>
      <c r="J21" s="3"/>
      <c r="K21" s="132">
        <v>27.5</v>
      </c>
      <c r="L21" s="3" t="s">
        <v>66</v>
      </c>
      <c r="M21" s="3"/>
      <c r="N21" s="3"/>
      <c r="O21" s="8"/>
    </row>
    <row r="22" spans="1:19" ht="8.25" customHeight="1" thickBot="1">
      <c r="A22" s="30"/>
      <c r="B22" s="20"/>
      <c r="C22" s="20"/>
      <c r="D22" s="20"/>
      <c r="E22" s="20"/>
      <c r="F22" s="21"/>
      <c r="H22" s="30"/>
      <c r="I22" s="20"/>
      <c r="J22" s="20"/>
      <c r="K22" s="20"/>
      <c r="L22" s="20"/>
      <c r="M22" s="20"/>
      <c r="N22" s="20"/>
      <c r="O22" s="21"/>
    </row>
    <row r="23" spans="1:19" ht="13.5" customHeight="1" thickBot="1"/>
    <row r="24" spans="1:19" ht="15.75" thickBot="1">
      <c r="D24" s="137" t="s">
        <v>22</v>
      </c>
      <c r="E24" s="140" t="s">
        <v>21</v>
      </c>
      <c r="F24" s="31" t="s">
        <v>23</v>
      </c>
      <c r="H24" s="148" t="s">
        <v>103</v>
      </c>
      <c r="I24" s="149"/>
      <c r="J24" s="149"/>
      <c r="K24" s="149"/>
      <c r="L24" s="149"/>
      <c r="M24" s="149"/>
      <c r="N24" s="149"/>
      <c r="O24" s="150"/>
    </row>
    <row r="25" spans="1:19">
      <c r="A25" s="32" t="s">
        <v>19</v>
      </c>
      <c r="B25" s="33"/>
      <c r="C25" s="34"/>
      <c r="D25" s="138">
        <f>E25+F25</f>
        <v>196</v>
      </c>
      <c r="E25" s="141">
        <f>'Calcoli Titolo II'!H19+'Calcoli Titolo II'!H29+'Calcoli Titolo II'!H39+'Calcoli Titolo II'!H51+'Calcoli Titolo II'!H65+'Calcoli Titolo II'!N19+'Calcoli Titolo II'!N29+'Calcoli Titolo II'!N39+'Calcoli Titolo II'!N51+'Calcoli Titolo II'!N65+'Calcoli Titolo II'!H129+'Calcoli Titolo II'!H139+'Calcoli Titolo II'!H149+'Calcoli Titolo II'!H161+'Calcoli Titolo II'!H175+'Calcoli Titolo II'!H187+'Calcoli Titolo II'!H194+'Calcoli Titolo II'!H202+'Calcoli Titolo II'!H210+'Calcoli Titolo II'!H218</f>
        <v>196</v>
      </c>
      <c r="F25" s="35">
        <f>IF('Calcoli Titolo II'!$H$9&lt;3,'Calcoli Titolo II'!$R$27,0)</f>
        <v>0</v>
      </c>
      <c r="H25" s="151"/>
      <c r="I25" s="152"/>
      <c r="J25" s="152"/>
      <c r="K25" s="152"/>
      <c r="L25" s="152"/>
      <c r="M25" s="152"/>
      <c r="N25" s="152"/>
      <c r="O25" s="153"/>
    </row>
    <row r="26" spans="1:19" ht="15.75" thickBot="1">
      <c r="A26" s="39" t="s">
        <v>20</v>
      </c>
      <c r="B26" s="40"/>
      <c r="C26" s="41"/>
      <c r="D26" s="139">
        <f>E26+F26</f>
        <v>114</v>
      </c>
      <c r="E26" s="142">
        <f>'Calcoli Titolo II'!I19+'Calcoli Titolo II'!I29+'Calcoli Titolo II'!I39+'Calcoli Titolo II'!I51+'Calcoli Titolo II'!I65+'Calcoli Titolo II'!O19+'Calcoli Titolo II'!O29+'Calcoli Titolo II'!O39+'Calcoli Titolo II'!O51+'Calcoli Titolo II'!O65+'Calcoli Titolo II'!I129+'Calcoli Titolo II'!I139+'Calcoli Titolo II'!I149+'Calcoli Titolo II'!I161+'Calcoli Titolo II'!I175+'Calcoli Titolo II'!I187+'Calcoli Titolo II'!I194+'Calcoli Titolo II'!I202+'Calcoli Titolo II'!I210+'Calcoli Titolo II'!I218</f>
        <v>114</v>
      </c>
      <c r="F26" s="42">
        <f>IF('Calcoli Titolo II'!$H$9&lt;3,'Calcoli Titolo II'!$R$27,0)</f>
        <v>0</v>
      </c>
    </row>
    <row r="27" spans="1:19" ht="12.75" customHeight="1">
      <c r="A27" s="44"/>
      <c r="B27" s="3"/>
      <c r="C27" s="3"/>
      <c r="D27" s="45"/>
      <c r="E27" s="6"/>
      <c r="F27" s="6"/>
      <c r="S27" s="111"/>
    </row>
    <row r="28" spans="1:19" ht="12.7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7"/>
      <c r="S28" s="111"/>
    </row>
    <row r="29" spans="1:19" s="47" customFormat="1" ht="22.5" customHeight="1">
      <c r="A29" s="78" t="s">
        <v>36</v>
      </c>
      <c r="B29" s="1"/>
      <c r="C29" s="119">
        <v>1200</v>
      </c>
      <c r="D29" s="46" t="s">
        <v>68</v>
      </c>
      <c r="E29" s="72"/>
      <c r="F29" s="103" t="s">
        <v>25</v>
      </c>
      <c r="G29" s="102"/>
      <c r="H29" s="72"/>
      <c r="I29" s="72"/>
      <c r="J29" s="55"/>
      <c r="K29" s="79"/>
    </row>
    <row r="30" spans="1:19" s="51" customFormat="1" ht="15.75">
      <c r="A30" s="80" t="s">
        <v>26</v>
      </c>
      <c r="B30" s="12"/>
      <c r="C30" s="120">
        <f>$C$3*C29</f>
        <v>12000</v>
      </c>
      <c r="D30" s="91" t="s">
        <v>24</v>
      </c>
      <c r="E30" s="12"/>
      <c r="F30" s="12"/>
      <c r="G30" s="12"/>
      <c r="H30" s="12"/>
      <c r="I30" s="12"/>
      <c r="J30" s="12"/>
      <c r="K30" s="81"/>
    </row>
    <row r="31" spans="1:19" s="51" customFormat="1" ht="15.75">
      <c r="A31" s="80" t="s">
        <v>27</v>
      </c>
      <c r="B31" s="12"/>
      <c r="C31" s="119">
        <v>2500</v>
      </c>
      <c r="D31" s="91" t="s">
        <v>24</v>
      </c>
      <c r="E31" s="98" t="s">
        <v>83</v>
      </c>
      <c r="F31" s="98"/>
      <c r="G31" s="98"/>
      <c r="H31" s="98"/>
      <c r="I31" s="91"/>
      <c r="J31" s="12"/>
      <c r="K31" s="81"/>
    </row>
    <row r="32" spans="1:19" s="51" customFormat="1" ht="15.75">
      <c r="A32" s="80"/>
      <c r="B32" s="12"/>
      <c r="C32" s="121"/>
      <c r="D32" s="114"/>
      <c r="E32" s="114"/>
      <c r="F32" s="114"/>
      <c r="G32" s="114"/>
      <c r="H32" s="114"/>
      <c r="I32" s="114"/>
      <c r="J32" s="12"/>
      <c r="K32" s="81"/>
    </row>
    <row r="33" spans="1:11" s="47" customFormat="1" ht="22.5" customHeight="1">
      <c r="A33" s="78" t="s">
        <v>28</v>
      </c>
      <c r="B33" s="1"/>
      <c r="C33" s="122">
        <f>'Calcoli Titolo II'!S55</f>
        <v>1250</v>
      </c>
      <c r="D33" s="46" t="s">
        <v>24</v>
      </c>
      <c r="E33" s="55" t="s">
        <v>35</v>
      </c>
      <c r="F33" s="55"/>
      <c r="G33" s="55"/>
      <c r="H33" s="55"/>
      <c r="I33" s="46"/>
      <c r="J33" s="55"/>
      <c r="K33" s="79"/>
    </row>
    <row r="34" spans="1:11" s="51" customFormat="1" ht="15.75">
      <c r="A34" s="82" t="s">
        <v>29</v>
      </c>
      <c r="B34" s="56"/>
      <c r="C34" s="120">
        <f>IF('Calcoli Titolo II'!Q49=1,C30-C33,C30)</f>
        <v>10750</v>
      </c>
      <c r="D34" s="91" t="s">
        <v>24</v>
      </c>
      <c r="E34" s="56"/>
      <c r="F34" s="56"/>
      <c r="G34" s="56"/>
      <c r="H34" s="56"/>
      <c r="I34" s="56"/>
      <c r="J34" s="56"/>
      <c r="K34" s="81"/>
    </row>
    <row r="35" spans="1:11" s="51" customFormat="1" ht="15.75">
      <c r="A35" s="82" t="s">
        <v>30</v>
      </c>
      <c r="B35" s="12"/>
      <c r="C35" s="120">
        <f>IF('Calcoli Titolo II'!Q49=1,C31-C33,0)</f>
        <v>1250</v>
      </c>
      <c r="D35" s="91" t="s">
        <v>24</v>
      </c>
      <c r="E35" s="12"/>
      <c r="F35" s="12"/>
      <c r="G35" s="12"/>
      <c r="H35" s="12"/>
      <c r="I35" s="12"/>
      <c r="J35" s="12"/>
      <c r="K35" s="81"/>
    </row>
    <row r="36" spans="1:11" s="51" customFormat="1" ht="15.75">
      <c r="A36" s="82"/>
      <c r="B36" s="12"/>
      <c r="C36" s="115"/>
      <c r="D36" s="91"/>
      <c r="E36" s="12"/>
      <c r="F36" s="12"/>
      <c r="G36" s="12"/>
      <c r="H36" s="12"/>
      <c r="I36" s="12"/>
      <c r="J36" s="12"/>
      <c r="K36" s="81"/>
    </row>
    <row r="37" spans="1:11" s="51" customFormat="1" ht="15.75">
      <c r="A37" s="82" t="s">
        <v>31</v>
      </c>
      <c r="B37" s="12"/>
      <c r="C37" s="119">
        <v>1850</v>
      </c>
      <c r="D37" s="91" t="s">
        <v>32</v>
      </c>
      <c r="E37" s="73" t="s">
        <v>121</v>
      </c>
      <c r="F37" s="74"/>
      <c r="G37" s="127"/>
      <c r="H37" s="154">
        <f>C37*C3</f>
        <v>18500</v>
      </c>
      <c r="I37" s="154"/>
      <c r="J37" s="128"/>
      <c r="K37" s="81"/>
    </row>
    <row r="38" spans="1:11" s="51" customFormat="1" ht="15.75">
      <c r="A38" s="82" t="s">
        <v>33</v>
      </c>
      <c r="B38" s="12"/>
      <c r="C38" s="119">
        <v>150</v>
      </c>
      <c r="D38" s="91" t="s">
        <v>32</v>
      </c>
      <c r="E38" s="73" t="s">
        <v>122</v>
      </c>
      <c r="F38" s="74"/>
      <c r="G38" s="127"/>
      <c r="H38" s="144">
        <f>C42+C44</f>
        <v>655</v>
      </c>
      <c r="I38" s="144"/>
      <c r="J38" s="128"/>
      <c r="K38" s="81"/>
    </row>
    <row r="39" spans="1:11" s="51" customFormat="1" ht="15.75">
      <c r="A39" s="82" t="s">
        <v>89</v>
      </c>
      <c r="B39" s="12"/>
      <c r="C39" s="123">
        <v>2</v>
      </c>
      <c r="D39" s="91" t="s">
        <v>66</v>
      </c>
      <c r="E39" s="12"/>
      <c r="F39" s="73" t="s">
        <v>123</v>
      </c>
      <c r="G39" s="74"/>
      <c r="H39" s="145">
        <f>SUM(H37:I38)</f>
        <v>19155</v>
      </c>
      <c r="I39" s="145"/>
      <c r="J39" s="129"/>
      <c r="K39" s="81"/>
    </row>
    <row r="40" spans="1:11" s="51" customFormat="1" ht="15.75">
      <c r="A40" s="82" t="s">
        <v>84</v>
      </c>
      <c r="B40" s="12"/>
      <c r="C40" s="124">
        <f>IF(C3&lt;20,C3*3,60+((C3-20)*2))</f>
        <v>30</v>
      </c>
      <c r="D40" s="91" t="s">
        <v>32</v>
      </c>
      <c r="E40" s="12"/>
      <c r="F40" s="12"/>
      <c r="G40" s="12"/>
      <c r="H40" s="12"/>
      <c r="I40" s="12"/>
      <c r="J40" s="12"/>
      <c r="K40" s="81"/>
    </row>
    <row r="41" spans="1:11" s="51" customFormat="1" ht="15.75">
      <c r="A41" s="82" t="s">
        <v>85</v>
      </c>
      <c r="B41" s="12"/>
      <c r="C41" s="125">
        <f>0.0005*C30</f>
        <v>6</v>
      </c>
      <c r="D41" s="91" t="s">
        <v>32</v>
      </c>
      <c r="E41" s="12"/>
      <c r="F41" s="12"/>
      <c r="G41" s="12"/>
      <c r="H41" s="12"/>
      <c r="I41" s="12"/>
      <c r="J41" s="12"/>
      <c r="K41" s="81"/>
    </row>
    <row r="42" spans="1:11" s="51" customFormat="1" ht="15.75">
      <c r="A42" s="82" t="s">
        <v>148</v>
      </c>
      <c r="B42" s="12"/>
      <c r="C42" s="120">
        <f>IF('Calcoli Titolo II'!O77&lt;0,'Calcoli Titolo II'!P77,(C3-C4)*55+'Calcoli Titolo II'!P77)</f>
        <v>505</v>
      </c>
      <c r="D42" s="91" t="s">
        <v>32</v>
      </c>
      <c r="E42" s="56"/>
      <c r="F42" s="12"/>
      <c r="G42" s="12"/>
      <c r="H42" s="12"/>
      <c r="I42" s="12"/>
      <c r="J42" s="12"/>
      <c r="K42" s="81"/>
    </row>
    <row r="43" spans="1:11" s="51" customFormat="1" ht="15.75">
      <c r="A43" s="82" t="s">
        <v>87</v>
      </c>
      <c r="B43" s="12"/>
      <c r="C43" s="119">
        <v>100</v>
      </c>
      <c r="D43" s="91" t="s">
        <v>32</v>
      </c>
      <c r="E43" s="56" t="s">
        <v>146</v>
      </c>
      <c r="F43" s="12"/>
      <c r="G43" s="12"/>
      <c r="H43" s="12"/>
      <c r="I43" s="12"/>
      <c r="J43" s="12"/>
      <c r="K43" s="81"/>
    </row>
    <row r="44" spans="1:11" s="51" customFormat="1" ht="15.75">
      <c r="A44" s="82" t="s">
        <v>37</v>
      </c>
      <c r="B44" s="12"/>
      <c r="C44" s="119">
        <v>150</v>
      </c>
      <c r="D44" s="91" t="s">
        <v>32</v>
      </c>
      <c r="E44" s="12"/>
      <c r="F44" s="12"/>
      <c r="G44" s="12"/>
      <c r="H44" s="12"/>
      <c r="I44" s="12"/>
      <c r="J44" s="12"/>
      <c r="K44" s="81"/>
    </row>
    <row r="45" spans="1:11" s="51" customFormat="1" ht="15.75">
      <c r="A45" s="82" t="s">
        <v>34</v>
      </c>
      <c r="B45" s="12"/>
      <c r="C45" s="126">
        <v>0.18</v>
      </c>
      <c r="D45" s="91" t="s">
        <v>32</v>
      </c>
      <c r="E45" s="12"/>
      <c r="F45" s="12"/>
      <c r="G45" s="12"/>
      <c r="H45" s="12"/>
      <c r="I45" s="12"/>
      <c r="J45" s="12"/>
      <c r="K45" s="81"/>
    </row>
    <row r="46" spans="1:11" s="51" customFormat="1" ht="15.75">
      <c r="A46" s="82" t="s">
        <v>88</v>
      </c>
      <c r="B46" s="12"/>
      <c r="C46" s="123">
        <v>0.9</v>
      </c>
      <c r="D46" s="91" t="s">
        <v>66</v>
      </c>
      <c r="E46" s="56" t="s">
        <v>120</v>
      </c>
      <c r="F46" s="12"/>
      <c r="G46" s="12"/>
      <c r="H46" s="12"/>
      <c r="I46" s="12"/>
      <c r="J46" s="12"/>
      <c r="K46" s="81"/>
    </row>
    <row r="47" spans="1:11" s="51" customFormat="1" ht="15.75">
      <c r="A47" s="82" t="s">
        <v>67</v>
      </c>
      <c r="B47" s="12"/>
      <c r="C47" s="123">
        <v>6</v>
      </c>
      <c r="D47" s="91" t="s">
        <v>66</v>
      </c>
      <c r="E47" s="56" t="s">
        <v>90</v>
      </c>
      <c r="F47" s="12"/>
      <c r="G47" s="12"/>
      <c r="H47" s="12"/>
      <c r="I47" s="12"/>
      <c r="J47" s="12"/>
      <c r="K47" s="81"/>
    </row>
    <row r="48" spans="1:11" s="51" customFormat="1" ht="9" customHeight="1">
      <c r="A48" s="83"/>
      <c r="B48" s="84"/>
      <c r="C48" s="100"/>
      <c r="D48" s="85"/>
      <c r="E48" s="99"/>
      <c r="F48" s="84"/>
      <c r="G48" s="84"/>
      <c r="H48" s="84"/>
      <c r="I48" s="84"/>
      <c r="J48" s="84"/>
      <c r="K48" s="86"/>
    </row>
    <row r="50" spans="1:24">
      <c r="A50" s="61"/>
      <c r="B50" s="61"/>
      <c r="C50" s="61"/>
      <c r="D50" s="61"/>
      <c r="E50" s="64" t="s">
        <v>44</v>
      </c>
      <c r="F50" s="64" t="s">
        <v>47</v>
      </c>
      <c r="G50" s="64" t="s">
        <v>48</v>
      </c>
      <c r="H50" s="64" t="s">
        <v>49</v>
      </c>
      <c r="I50" s="64" t="s">
        <v>50</v>
      </c>
      <c r="J50" s="64" t="s">
        <v>51</v>
      </c>
      <c r="K50" s="64" t="s">
        <v>52</v>
      </c>
      <c r="L50" s="64" t="s">
        <v>53</v>
      </c>
      <c r="M50" s="64" t="s">
        <v>54</v>
      </c>
      <c r="N50" s="64" t="s">
        <v>55</v>
      </c>
      <c r="O50" s="64" t="s">
        <v>56</v>
      </c>
      <c r="P50" s="64" t="s">
        <v>57</v>
      </c>
      <c r="Q50" s="64" t="s">
        <v>58</v>
      </c>
      <c r="R50" s="64" t="s">
        <v>59</v>
      </c>
      <c r="S50" s="64" t="s">
        <v>60</v>
      </c>
      <c r="T50" s="64" t="s">
        <v>61</v>
      </c>
      <c r="U50" s="64" t="s">
        <v>62</v>
      </c>
      <c r="V50" s="64" t="s">
        <v>63</v>
      </c>
      <c r="W50" s="64" t="s">
        <v>64</v>
      </c>
      <c r="X50" s="64" t="s">
        <v>65</v>
      </c>
    </row>
    <row r="51" spans="1:24">
      <c r="A51" s="61"/>
      <c r="B51" s="61"/>
      <c r="C51" s="61"/>
      <c r="D51" s="6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ht="15.75">
      <c r="A52" s="63" t="s">
        <v>109</v>
      </c>
      <c r="B52" s="61"/>
      <c r="C52" s="61"/>
      <c r="D52" s="61"/>
      <c r="E52" s="66">
        <f>C30</f>
        <v>12000</v>
      </c>
      <c r="F52" s="66">
        <f t="shared" ref="F52:X52" si="0">E52/100*(100-$C$46)</f>
        <v>11892</v>
      </c>
      <c r="G52" s="66">
        <f t="shared" si="0"/>
        <v>11784.972</v>
      </c>
      <c r="H52" s="66">
        <f>G52/100*(100-$C$46)</f>
        <v>11678.907251999999</v>
      </c>
      <c r="I52" s="66">
        <f t="shared" si="0"/>
        <v>11573.797086731998</v>
      </c>
      <c r="J52" s="66">
        <f t="shared" si="0"/>
        <v>11469.632912951411</v>
      </c>
      <c r="K52" s="66">
        <f t="shared" si="0"/>
        <v>11366.406216734847</v>
      </c>
      <c r="L52" s="66">
        <f t="shared" si="0"/>
        <v>11264.108560784234</v>
      </c>
      <c r="M52" s="66">
        <f t="shared" si="0"/>
        <v>11162.731583737175</v>
      </c>
      <c r="N52" s="66">
        <f t="shared" si="0"/>
        <v>11062.26699948354</v>
      </c>
      <c r="O52" s="66">
        <f t="shared" si="0"/>
        <v>10962.706596488186</v>
      </c>
      <c r="P52" s="66">
        <f t="shared" si="0"/>
        <v>10864.042237119793</v>
      </c>
      <c r="Q52" s="66">
        <f t="shared" si="0"/>
        <v>10766.265856985714</v>
      </c>
      <c r="R52" s="66">
        <f t="shared" si="0"/>
        <v>10669.369464272842</v>
      </c>
      <c r="S52" s="66">
        <f t="shared" si="0"/>
        <v>10573.345139094385</v>
      </c>
      <c r="T52" s="66">
        <f t="shared" si="0"/>
        <v>10478.185032842533</v>
      </c>
      <c r="U52" s="66">
        <f t="shared" si="0"/>
        <v>10383.88136754695</v>
      </c>
      <c r="V52" s="66">
        <f t="shared" si="0"/>
        <v>10290.426435239026</v>
      </c>
      <c r="W52" s="66">
        <f t="shared" si="0"/>
        <v>10197.812597321874</v>
      </c>
      <c r="X52" s="66">
        <f t="shared" si="0"/>
        <v>10106.032283945977</v>
      </c>
    </row>
    <row r="53" spans="1:24" ht="15.75">
      <c r="A53" s="63" t="s">
        <v>28</v>
      </c>
      <c r="B53" s="61"/>
      <c r="C53" s="61"/>
      <c r="D53" s="61"/>
      <c r="E53" s="66">
        <f>$C$33</f>
        <v>1250</v>
      </c>
      <c r="F53" s="66">
        <f t="shared" ref="F53:X53" si="1">E53+(E53/100*$C$39)</f>
        <v>1275</v>
      </c>
      <c r="G53" s="66">
        <f t="shared" si="1"/>
        <v>1300.5</v>
      </c>
      <c r="H53" s="66">
        <f>G53+(G53/100*$C$39)</f>
        <v>1326.51</v>
      </c>
      <c r="I53" s="66">
        <f t="shared" si="1"/>
        <v>1353.0401999999999</v>
      </c>
      <c r="J53" s="66">
        <f t="shared" si="1"/>
        <v>1380.1010039999999</v>
      </c>
      <c r="K53" s="66">
        <f t="shared" si="1"/>
        <v>1407.70302408</v>
      </c>
      <c r="L53" s="66">
        <f t="shared" si="1"/>
        <v>1435.8570845616</v>
      </c>
      <c r="M53" s="66">
        <f t="shared" si="1"/>
        <v>1464.574226252832</v>
      </c>
      <c r="N53" s="66">
        <f t="shared" si="1"/>
        <v>1493.8657107778886</v>
      </c>
      <c r="O53" s="66">
        <f t="shared" si="1"/>
        <v>1523.7430249934464</v>
      </c>
      <c r="P53" s="66">
        <f t="shared" si="1"/>
        <v>1554.2178854933154</v>
      </c>
      <c r="Q53" s="66">
        <f t="shared" si="1"/>
        <v>1585.3022432031817</v>
      </c>
      <c r="R53" s="66">
        <f t="shared" si="1"/>
        <v>1617.0082880672453</v>
      </c>
      <c r="S53" s="66">
        <f t="shared" si="1"/>
        <v>1649.3484538285902</v>
      </c>
      <c r="T53" s="66">
        <f t="shared" si="1"/>
        <v>1682.335422905162</v>
      </c>
      <c r="U53" s="66">
        <f t="shared" si="1"/>
        <v>1715.9821313632651</v>
      </c>
      <c r="V53" s="66">
        <f t="shared" si="1"/>
        <v>1750.3017739905304</v>
      </c>
      <c r="W53" s="66">
        <f t="shared" si="1"/>
        <v>1785.307809470341</v>
      </c>
      <c r="X53" s="66">
        <f t="shared" si="1"/>
        <v>1821.0139656597478</v>
      </c>
    </row>
    <row r="54" spans="1:24" ht="15.75">
      <c r="A54" s="63" t="s">
        <v>38</v>
      </c>
      <c r="B54" s="61"/>
      <c r="C54" s="61"/>
      <c r="D54" s="61"/>
      <c r="E54" s="66">
        <f>IF((F52-F53)&lt;0,0,F52-F53)</f>
        <v>10617</v>
      </c>
      <c r="F54" s="66">
        <f>IF((G52-G53)&lt;0,0,G52-G53)</f>
        <v>10484.472</v>
      </c>
      <c r="G54" s="66">
        <f t="shared" ref="G54:X54" si="2">IF((H52-H53)&lt;0,0,H52-H53)</f>
        <v>10352.397251999999</v>
      </c>
      <c r="H54" s="66">
        <f t="shared" si="2"/>
        <v>10220.756886731999</v>
      </c>
      <c r="I54" s="66">
        <f t="shared" si="2"/>
        <v>10089.531908951411</v>
      </c>
      <c r="J54" s="66">
        <f t="shared" si="2"/>
        <v>9958.703192654848</v>
      </c>
      <c r="K54" s="66">
        <f t="shared" si="2"/>
        <v>9828.2514762226347</v>
      </c>
      <c r="L54" s="66">
        <f t="shared" si="2"/>
        <v>9698.1573574843424</v>
      </c>
      <c r="M54" s="66">
        <f t="shared" si="2"/>
        <v>9568.4012887056506</v>
      </c>
      <c r="N54" s="66">
        <f t="shared" si="2"/>
        <v>9438.9635714947399</v>
      </c>
      <c r="O54" s="66">
        <f t="shared" si="2"/>
        <v>9309.8243516264774</v>
      </c>
      <c r="P54" s="66">
        <f t="shared" si="2"/>
        <v>9180.9636137825328</v>
      </c>
      <c r="Q54" s="66">
        <f t="shared" si="2"/>
        <v>9052.3611762055971</v>
      </c>
      <c r="R54" s="66">
        <f t="shared" si="2"/>
        <v>8923.9966852657944</v>
      </c>
      <c r="S54" s="66">
        <f t="shared" si="2"/>
        <v>8795.8496099373715</v>
      </c>
      <c r="T54" s="66">
        <f t="shared" si="2"/>
        <v>8667.8992361836845</v>
      </c>
      <c r="U54" s="66">
        <f t="shared" si="2"/>
        <v>8540.1246612484956</v>
      </c>
      <c r="V54" s="66">
        <f t="shared" si="2"/>
        <v>8412.5047878515325</v>
      </c>
      <c r="W54" s="66">
        <f t="shared" si="2"/>
        <v>8285.0183182862293</v>
      </c>
      <c r="X54" s="66">
        <f t="shared" si="2"/>
        <v>0</v>
      </c>
    </row>
    <row r="55" spans="1:24" ht="11.25" customHeight="1">
      <c r="A55" s="63"/>
      <c r="B55" s="61"/>
      <c r="C55" s="61"/>
      <c r="D55" s="6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5.75">
      <c r="A56" s="63" t="s">
        <v>39</v>
      </c>
      <c r="B56" s="61"/>
      <c r="C56" s="61"/>
      <c r="D56" s="61"/>
      <c r="E56" s="67">
        <f>$D$25*E54/1000</f>
        <v>2080.9319999999998</v>
      </c>
      <c r="F56" s="67">
        <f t="shared" ref="F56:X56" si="3">$D$25*F54/1000</f>
        <v>2054.9565119999997</v>
      </c>
      <c r="G56" s="67">
        <f t="shared" si="3"/>
        <v>2029.0698613919997</v>
      </c>
      <c r="H56" s="67">
        <f t="shared" si="3"/>
        <v>2003.2683497994717</v>
      </c>
      <c r="I56" s="67">
        <f t="shared" si="3"/>
        <v>1977.5482541544766</v>
      </c>
      <c r="J56" s="67">
        <f t="shared" si="3"/>
        <v>1951.9058257603501</v>
      </c>
      <c r="K56" s="67">
        <f t="shared" si="3"/>
        <v>1926.3372893396365</v>
      </c>
      <c r="L56" s="67">
        <f t="shared" si="3"/>
        <v>1900.838842066931</v>
      </c>
      <c r="M56" s="67">
        <f t="shared" si="3"/>
        <v>1875.4066525863077</v>
      </c>
      <c r="N56" s="67">
        <f t="shared" si="3"/>
        <v>1850.0368600129691</v>
      </c>
      <c r="O56" s="67">
        <f t="shared" si="3"/>
        <v>1824.7255729187896</v>
      </c>
      <c r="P56" s="67">
        <f t="shared" si="3"/>
        <v>1799.4688683013765</v>
      </c>
      <c r="Q56" s="67">
        <f t="shared" si="3"/>
        <v>1774.262790536297</v>
      </c>
      <c r="R56" s="67">
        <f t="shared" si="3"/>
        <v>1749.1033503120957</v>
      </c>
      <c r="S56" s="67">
        <f t="shared" si="3"/>
        <v>1723.9865235477248</v>
      </c>
      <c r="T56" s="67">
        <f t="shared" si="3"/>
        <v>1698.9082502920023</v>
      </c>
      <c r="U56" s="67">
        <f t="shared" si="3"/>
        <v>1673.8644336047053</v>
      </c>
      <c r="V56" s="67">
        <f t="shared" si="3"/>
        <v>1648.8509384189003</v>
      </c>
      <c r="W56" s="67">
        <f t="shared" si="3"/>
        <v>1623.8635903841009</v>
      </c>
      <c r="X56" s="67">
        <f t="shared" si="3"/>
        <v>0</v>
      </c>
    </row>
    <row r="57" spans="1:24" ht="15.75">
      <c r="A57" s="63" t="s">
        <v>40</v>
      </c>
      <c r="B57" s="61"/>
      <c r="C57" s="61"/>
      <c r="D57" s="61"/>
      <c r="E57" s="67">
        <f>$D$26*E53/1000</f>
        <v>142.5</v>
      </c>
      <c r="F57" s="67">
        <f t="shared" ref="F57:X57" si="4">$D$26*F53/1000</f>
        <v>145.35</v>
      </c>
      <c r="G57" s="67">
        <f t="shared" si="4"/>
        <v>148.25700000000001</v>
      </c>
      <c r="H57" s="67">
        <f t="shared" si="4"/>
        <v>151.22214</v>
      </c>
      <c r="I57" s="67">
        <f t="shared" si="4"/>
        <v>154.2465828</v>
      </c>
      <c r="J57" s="67">
        <f t="shared" si="4"/>
        <v>157.33151445599998</v>
      </c>
      <c r="K57" s="67">
        <f t="shared" si="4"/>
        <v>160.47814474512001</v>
      </c>
      <c r="L57" s="67">
        <f t="shared" si="4"/>
        <v>163.68770764002238</v>
      </c>
      <c r="M57" s="67">
        <f t="shared" si="4"/>
        <v>166.96146179282283</v>
      </c>
      <c r="N57" s="67">
        <f t="shared" si="4"/>
        <v>170.3006910286793</v>
      </c>
      <c r="O57" s="67">
        <f t="shared" si="4"/>
        <v>173.70670484925287</v>
      </c>
      <c r="P57" s="67">
        <f t="shared" si="4"/>
        <v>177.18083894623797</v>
      </c>
      <c r="Q57" s="67">
        <f t="shared" si="4"/>
        <v>180.7244557251627</v>
      </c>
      <c r="R57" s="67">
        <f t="shared" si="4"/>
        <v>184.33894483966597</v>
      </c>
      <c r="S57" s="67">
        <f t="shared" si="4"/>
        <v>188.02572373645927</v>
      </c>
      <c r="T57" s="67">
        <f t="shared" si="4"/>
        <v>191.78623821118848</v>
      </c>
      <c r="U57" s="67">
        <f t="shared" si="4"/>
        <v>195.62196297541223</v>
      </c>
      <c r="V57" s="67">
        <f t="shared" si="4"/>
        <v>199.53440223492046</v>
      </c>
      <c r="W57" s="67">
        <f t="shared" si="4"/>
        <v>203.52509027961887</v>
      </c>
      <c r="X57" s="67">
        <f t="shared" si="4"/>
        <v>207.59559208521125</v>
      </c>
    </row>
    <row r="58" spans="1:24" ht="15.75">
      <c r="A58" s="63" t="s">
        <v>41</v>
      </c>
      <c r="B58" s="61"/>
      <c r="C58" s="61"/>
      <c r="D58" s="61"/>
      <c r="E58" s="67">
        <f>E53*C45</f>
        <v>225</v>
      </c>
      <c r="F58" s="67">
        <f t="shared" ref="F58:X58" si="5">($C$45*F53)+(($C$45*F53)/100*$C$47)</f>
        <v>243.27</v>
      </c>
      <c r="G58" s="67">
        <f t="shared" si="5"/>
        <v>248.1354</v>
      </c>
      <c r="H58" s="67">
        <f t="shared" si="5"/>
        <v>253.098108</v>
      </c>
      <c r="I58" s="67">
        <f t="shared" si="5"/>
        <v>258.16007015999998</v>
      </c>
      <c r="J58" s="67">
        <f t="shared" si="5"/>
        <v>263.32327156319997</v>
      </c>
      <c r="K58" s="67">
        <f t="shared" si="5"/>
        <v>268.58973699446398</v>
      </c>
      <c r="L58" s="67">
        <f t="shared" si="5"/>
        <v>273.96153173435329</v>
      </c>
      <c r="M58" s="67">
        <f t="shared" si="5"/>
        <v>279.44076236904033</v>
      </c>
      <c r="N58" s="67">
        <f t="shared" si="5"/>
        <v>285.02957761642114</v>
      </c>
      <c r="O58" s="67">
        <f t="shared" si="5"/>
        <v>290.73016916874957</v>
      </c>
      <c r="P58" s="67">
        <f t="shared" si="5"/>
        <v>296.54477255212453</v>
      </c>
      <c r="Q58" s="67">
        <f t="shared" si="5"/>
        <v>302.47566800316702</v>
      </c>
      <c r="R58" s="67">
        <f t="shared" si="5"/>
        <v>308.52518136323039</v>
      </c>
      <c r="S58" s="67">
        <f t="shared" si="5"/>
        <v>314.69568499049501</v>
      </c>
      <c r="T58" s="67">
        <f t="shared" si="5"/>
        <v>320.98959869030489</v>
      </c>
      <c r="U58" s="67">
        <f t="shared" si="5"/>
        <v>327.40939066411096</v>
      </c>
      <c r="V58" s="67">
        <f t="shared" si="5"/>
        <v>333.95757847739316</v>
      </c>
      <c r="W58" s="67">
        <f t="shared" si="5"/>
        <v>340.63673004694107</v>
      </c>
      <c r="X58" s="67">
        <f t="shared" si="5"/>
        <v>347.44946464787984</v>
      </c>
    </row>
    <row r="59" spans="1:24" ht="15.75">
      <c r="A59" s="63" t="s">
        <v>42</v>
      </c>
      <c r="B59" s="61"/>
      <c r="C59" s="61"/>
      <c r="D59" s="61"/>
      <c r="E59" s="68">
        <f>SUM(E56:E58)</f>
        <v>2448.4319999999998</v>
      </c>
      <c r="F59" s="68">
        <f t="shared" ref="F59:X59" si="6">SUM(F56:F58)</f>
        <v>2443.5765119999996</v>
      </c>
      <c r="G59" s="68">
        <f t="shared" si="6"/>
        <v>2425.4622613919996</v>
      </c>
      <c r="H59" s="68">
        <f t="shared" si="6"/>
        <v>2407.5885977994717</v>
      </c>
      <c r="I59" s="68">
        <f t="shared" si="6"/>
        <v>2389.9549071144766</v>
      </c>
      <c r="J59" s="68">
        <f t="shared" si="6"/>
        <v>2372.5606117795501</v>
      </c>
      <c r="K59" s="68">
        <f t="shared" si="6"/>
        <v>2355.4051710792205</v>
      </c>
      <c r="L59" s="68">
        <f t="shared" si="6"/>
        <v>2338.4880814413063</v>
      </c>
      <c r="M59" s="68">
        <f t="shared" si="6"/>
        <v>2321.8088767481709</v>
      </c>
      <c r="N59" s="68">
        <f t="shared" si="6"/>
        <v>2305.3671286580693</v>
      </c>
      <c r="O59" s="68">
        <f t="shared" si="6"/>
        <v>2289.1624469367921</v>
      </c>
      <c r="P59" s="68">
        <f t="shared" si="6"/>
        <v>2273.1944797997389</v>
      </c>
      <c r="Q59" s="68">
        <f t="shared" si="6"/>
        <v>2257.4629142646268</v>
      </c>
      <c r="R59" s="68">
        <f t="shared" si="6"/>
        <v>2241.9674765149921</v>
      </c>
      <c r="S59" s="68">
        <f t="shared" si="6"/>
        <v>2226.707932274679</v>
      </c>
      <c r="T59" s="68">
        <f t="shared" si="6"/>
        <v>2211.6840871934955</v>
      </c>
      <c r="U59" s="68">
        <f t="shared" si="6"/>
        <v>2196.8957872442284</v>
      </c>
      <c r="V59" s="68">
        <f t="shared" si="6"/>
        <v>2182.3429191312139</v>
      </c>
      <c r="W59" s="68">
        <f t="shared" si="6"/>
        <v>2168.0254107106607</v>
      </c>
      <c r="X59" s="68">
        <f t="shared" si="6"/>
        <v>555.04505673309109</v>
      </c>
    </row>
    <row r="60" spans="1:24" ht="11.25" customHeight="1">
      <c r="A60" s="63"/>
      <c r="B60" s="61"/>
      <c r="C60" s="61"/>
      <c r="D60" s="61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1:24" ht="15.75">
      <c r="A61" s="63" t="s">
        <v>97</v>
      </c>
      <c r="B61" s="61"/>
      <c r="C61" s="61"/>
      <c r="D61" s="61"/>
      <c r="E61" s="67">
        <f>IF('Calcoli Titolo II'!$I$72=TRUE,'Calcoli Titolo II'!D88,0)</f>
        <v>832.5</v>
      </c>
      <c r="F61" s="67">
        <f>IF('Calcoli Titolo II'!$I$72=TRUE,'Calcoli Titolo II'!E88,0)</f>
        <v>1665</v>
      </c>
      <c r="G61" s="67">
        <f>IF('Calcoli Titolo II'!$I$72=TRUE,'Calcoli Titolo II'!F88,0)</f>
        <v>1665</v>
      </c>
      <c r="H61" s="67">
        <f>IF('Calcoli Titolo II'!$I$72=TRUE,'Calcoli Titolo II'!G88,0)</f>
        <v>1665</v>
      </c>
      <c r="I61" s="67">
        <f>IF('Calcoli Titolo II'!$I$72=TRUE,'Calcoli Titolo II'!H88,0)</f>
        <v>1665</v>
      </c>
      <c r="J61" s="67">
        <f>IF('Calcoli Titolo II'!$I$72=TRUE,'Calcoli Titolo II'!I88,0)</f>
        <v>1665</v>
      </c>
      <c r="K61" s="67">
        <f>IF('Calcoli Titolo II'!$I$72=TRUE,'Calcoli Titolo II'!J88,0)</f>
        <v>1665</v>
      </c>
      <c r="L61" s="67">
        <f>IF('Calcoli Titolo II'!$I$72=TRUE,'Calcoli Titolo II'!K88,0)</f>
        <v>1665</v>
      </c>
      <c r="M61" s="67">
        <f>IF('Calcoli Titolo II'!$I$72=TRUE,'Calcoli Titolo II'!L88,0)</f>
        <v>1665</v>
      </c>
      <c r="N61" s="67">
        <f>IF('Calcoli Titolo II'!$I$72=TRUE,'Calcoli Titolo II'!M88,0)</f>
        <v>1665</v>
      </c>
      <c r="O61" s="67">
        <f>IF('Calcoli Titolo II'!$I$72=TRUE,'Calcoli Titolo II'!N88,0)</f>
        <v>1665</v>
      </c>
      <c r="P61" s="67">
        <f>IF('Calcoli Titolo II'!$I$72=TRUE,'Calcoli Titolo II'!O88,0)</f>
        <v>1017.5</v>
      </c>
      <c r="Q61" s="67">
        <f>IF('Calcoli Titolo II'!$I$72=TRUE,'Calcoli Titolo II'!P88,0)</f>
        <v>0</v>
      </c>
      <c r="R61" s="67">
        <f>IF('Calcoli Titolo II'!$I$72=TRUE,'Calcoli Titolo II'!Q88,0)</f>
        <v>0</v>
      </c>
      <c r="S61" s="67">
        <f>IF('Calcoli Titolo II'!$I$72=TRUE,'Calcoli Titolo II'!R88,0)</f>
        <v>0</v>
      </c>
      <c r="T61" s="67">
        <f>IF('Calcoli Titolo II'!$I$72=TRUE,'Calcoli Titolo II'!S88,0)</f>
        <v>0</v>
      </c>
      <c r="U61" s="67">
        <f>IF('Calcoli Titolo II'!$I$72=TRUE,'Calcoli Titolo II'!T88,0)</f>
        <v>0</v>
      </c>
      <c r="V61" s="67">
        <f>IF('Calcoli Titolo II'!$I$72=TRUE,'Calcoli Titolo II'!U88,0)</f>
        <v>0</v>
      </c>
      <c r="W61" s="67">
        <f>IF('Calcoli Titolo II'!$I$72=TRUE,'Calcoli Titolo II'!V88,0)</f>
        <v>0</v>
      </c>
      <c r="X61" s="67">
        <f>IF('Calcoli Titolo II'!$I$72=TRUE,'Calcoli Titolo II'!W88,0)</f>
        <v>0</v>
      </c>
    </row>
    <row r="62" spans="1:24" ht="15.75">
      <c r="A62" s="63" t="s">
        <v>129</v>
      </c>
      <c r="B62" s="61"/>
      <c r="C62" s="61"/>
      <c r="D62" s="61"/>
      <c r="E62" s="113">
        <f>IF('Calcoli Titolo II'!$L$72=FALSE,'Calcoli Titolo II'!D67,0)</f>
        <v>1390.9319999999998</v>
      </c>
      <c r="F62" s="113">
        <f>IF('Calcoli Titolo II'!$L$72=FALSE,'Calcoli Titolo II'!E67,0)</f>
        <v>535.30651199999966</v>
      </c>
      <c r="G62" s="113">
        <f>IF('Calcoli Titolo II'!$L$72=FALSE,'Calcoli Titolo II'!F67,0)</f>
        <v>512.3268613919995</v>
      </c>
      <c r="H62" s="113">
        <f>IF('Calcoli Titolo II'!$L$72=FALSE,'Calcoli Titolo II'!G67,0)</f>
        <v>489.49048979947156</v>
      </c>
      <c r="I62" s="113">
        <f>IF('Calcoli Titolo II'!$L$72=FALSE,'Calcoli Titolo II'!H67,0)</f>
        <v>466.79483695447652</v>
      </c>
      <c r="J62" s="113">
        <f>IF('Calcoli Titolo II'!$L$72=FALSE,'Calcoli Titolo II'!I67,0)</f>
        <v>444.23734021635028</v>
      </c>
      <c r="K62" s="113">
        <f>IF('Calcoli Titolo II'!$L$72=FALSE,'Calcoli Titolo II'!J67,0)</f>
        <v>421.81543408475636</v>
      </c>
      <c r="L62" s="113">
        <f>IF('Calcoli Titolo II'!$L$72=FALSE,'Calcoli Titolo II'!K67,0)</f>
        <v>399.52654970695312</v>
      </c>
      <c r="M62" s="113">
        <f>IF('Calcoli Titolo II'!$L$72=FALSE,'Calcoli Titolo II'!L67,0)</f>
        <v>377.36811437913047</v>
      </c>
      <c r="N62" s="113">
        <f>IF('Calcoli Titolo II'!$L$72=FALSE,'Calcoli Titolo II'!M67,0)</f>
        <v>355.33755104164834</v>
      </c>
      <c r="O62" s="113">
        <f>IF('Calcoli Titolo II'!$L$72=FALSE,'Calcoli Titolo II'!N67,0)</f>
        <v>333.43227776804247</v>
      </c>
      <c r="P62" s="113">
        <f>IF('Calcoli Titolo II'!$L$72=FALSE,'Calcoli Titolo II'!O67,0)</f>
        <v>959.14970724761451</v>
      </c>
      <c r="Q62" s="113">
        <f>IF('Calcoli Titolo II'!$L$72=FALSE,'Calcoli Titolo II'!P67,0)</f>
        <v>1954.9872462614596</v>
      </c>
      <c r="R62" s="113">
        <f>IF('Calcoli Titolo II'!$L$72=FALSE,'Calcoli Titolo II'!Q67,0)</f>
        <v>1933.4422951517618</v>
      </c>
      <c r="S62" s="113">
        <f>IF('Calcoli Titolo II'!$L$72=FALSE,'Calcoli Titolo II'!R67,0)</f>
        <v>1912.012247284184</v>
      </c>
      <c r="T62" s="113">
        <f>IF('Calcoli Titolo II'!$L$72=FALSE,'Calcoli Titolo II'!S67,0)</f>
        <v>1890.6944885031908</v>
      </c>
      <c r="U62" s="113">
        <f>IF('Calcoli Titolo II'!$L$72=FALSE,'Calcoli Titolo II'!T67,0)</f>
        <v>1869.4863965801176</v>
      </c>
      <c r="V62" s="113">
        <f>IF('Calcoli Titolo II'!$L$72=FALSE,'Calcoli Titolo II'!U67,0)</f>
        <v>1848.3853406538208</v>
      </c>
      <c r="W62" s="113">
        <f>IF('Calcoli Titolo II'!$L$72=FALSE,'Calcoli Titolo II'!V67,0)</f>
        <v>1827.3886806637197</v>
      </c>
      <c r="X62" s="113">
        <f>IF('Calcoli Titolo II'!$L$72=FALSE,'Calcoli Titolo II'!W67,0)</f>
        <v>207.59559208521125</v>
      </c>
    </row>
    <row r="63" spans="1:24" ht="15.75">
      <c r="A63" s="63" t="s">
        <v>95</v>
      </c>
      <c r="B63" s="61"/>
      <c r="C63" s="61"/>
      <c r="D63" s="61"/>
      <c r="E63" s="67">
        <f>IF('Calcoli Titolo II'!$I$76=TRUE,'Calcoli Titolo II'!D110,0)</f>
        <v>319.91435999999993</v>
      </c>
      <c r="F63" s="67">
        <f>IF('Calcoli Titolo II'!$I$76=TRUE,'Calcoli Titolo II'!E110,0)</f>
        <v>123.12049775999992</v>
      </c>
      <c r="G63" s="67">
        <f>IF('Calcoli Titolo II'!$I$76=TRUE,'Calcoli Titolo II'!F110,0)</f>
        <v>117.8351781201599</v>
      </c>
      <c r="H63" s="67">
        <f>IF('Calcoli Titolo II'!$I$76=TRUE,'Calcoli Titolo II'!G110,0)</f>
        <v>112.58281265387845</v>
      </c>
      <c r="I63" s="67">
        <f>IF('Calcoli Titolo II'!$I$76=TRUE,'Calcoli Titolo II'!H110,0)</f>
        <v>107.36281249952961</v>
      </c>
      <c r="J63" s="67">
        <f>IF('Calcoli Titolo II'!$I$76=TRUE,'Calcoli Titolo II'!I110,0)</f>
        <v>102.17458824976056</v>
      </c>
      <c r="K63" s="67">
        <f>IF('Calcoli Titolo II'!$I$76=TRUE,'Calcoli Titolo II'!J110,0)</f>
        <v>97.017549839493967</v>
      </c>
      <c r="L63" s="67">
        <f>IF('Calcoli Titolo II'!$I$76=TRUE,'Calcoli Titolo II'!K110,0)</f>
        <v>91.891106432599216</v>
      </c>
      <c r="M63" s="67">
        <f>IF('Calcoli Titolo II'!$I$76=TRUE,'Calcoli Titolo II'!L110,0)</f>
        <v>86.794666307200018</v>
      </c>
      <c r="N63" s="67">
        <f>IF('Calcoli Titolo II'!$I$76=TRUE,'Calcoli Titolo II'!M110,0)</f>
        <v>81.727636739579111</v>
      </c>
      <c r="O63" s="67">
        <f>IF('Calcoli Titolo II'!$I$76=TRUE,'Calcoli Titolo II'!N110,0)</f>
        <v>76.689423886649763</v>
      </c>
      <c r="P63" s="67">
        <f>IF('Calcoli Titolo II'!$I$76=TRUE,'Calcoli Titolo II'!O110,0)</f>
        <v>220.60443266695131</v>
      </c>
      <c r="Q63" s="67">
        <f>IF('Calcoli Titolo II'!$I$76=TRUE,'Calcoli Titolo II'!P110,0)</f>
        <v>449.64706664013573</v>
      </c>
      <c r="R63" s="67">
        <f>IF('Calcoli Titolo II'!$I$76=TRUE,'Calcoli Titolo II'!Q110,0)</f>
        <v>444.69172788490516</v>
      </c>
      <c r="S63" s="67">
        <f>IF('Calcoli Titolo II'!$I$76=TRUE,'Calcoli Titolo II'!R110,0)</f>
        <v>439.76281687536232</v>
      </c>
      <c r="T63" s="67">
        <f>IF('Calcoli Titolo II'!$I$76=TRUE,'Calcoli Titolo II'!S110,0)</f>
        <v>434.85973235573391</v>
      </c>
      <c r="U63" s="67">
        <f>IF('Calcoli Titolo II'!$I$76=TRUE,'Calcoli Titolo II'!T110,0)</f>
        <v>429.98187121342704</v>
      </c>
      <c r="V63" s="67">
        <f>IF('Calcoli Titolo II'!$I$76=TRUE,'Calcoli Titolo II'!U110,0)</f>
        <v>425.12862835037879</v>
      </c>
      <c r="W63" s="67">
        <f>IF('Calcoli Titolo II'!$I$76=TRUE,'Calcoli Titolo II'!V110,0)</f>
        <v>420.29939655265554</v>
      </c>
      <c r="X63" s="67">
        <f>IF('Calcoli Titolo II'!$I$76=TRUE,'Calcoli Titolo II'!W110,0)</f>
        <v>47.746986179598586</v>
      </c>
    </row>
    <row r="64" spans="1:24" ht="15.75">
      <c r="A64" s="63" t="s">
        <v>128</v>
      </c>
      <c r="B64" s="61"/>
      <c r="C64" s="61"/>
      <c r="D64" s="61"/>
      <c r="E64" s="67">
        <f>IF('Calcoli Titolo II'!$I$78=TRUE,E62/100*$K$21,0)</f>
        <v>0</v>
      </c>
      <c r="F64" s="67">
        <f>IF('Calcoli Titolo II'!$I$78=TRUE,F62/100*$K$21,0)</f>
        <v>0</v>
      </c>
      <c r="G64" s="67">
        <f>IF('Calcoli Titolo II'!$I$78=TRUE,G62/100*$K$21,0)</f>
        <v>0</v>
      </c>
      <c r="H64" s="67">
        <f>IF('Calcoli Titolo II'!$I$78=TRUE,H62/100*$K$21,0)</f>
        <v>0</v>
      </c>
      <c r="I64" s="67">
        <f>IF('Calcoli Titolo II'!$I$78=TRUE,I62/100*$K$21,0)</f>
        <v>0</v>
      </c>
      <c r="J64" s="67">
        <f>IF('Calcoli Titolo II'!$I$78=TRUE,J62/100*$K$21,0)</f>
        <v>0</v>
      </c>
      <c r="K64" s="67">
        <f>IF('Calcoli Titolo II'!$I$78=TRUE,K62/100*$K$21,0)</f>
        <v>0</v>
      </c>
      <c r="L64" s="67">
        <f>IF('Calcoli Titolo II'!$I$78=TRUE,L62/100*$K$21,0)</f>
        <v>0</v>
      </c>
      <c r="M64" s="67">
        <f>IF('Calcoli Titolo II'!$I$78=TRUE,M62/100*$K$21,0)</f>
        <v>0</v>
      </c>
      <c r="N64" s="67">
        <f>IF('Calcoli Titolo II'!$I$78=TRUE,N62/100*$K$21,0)</f>
        <v>0</v>
      </c>
      <c r="O64" s="67">
        <f>IF('Calcoli Titolo II'!$I$78=TRUE,O62/100*$K$21,0)</f>
        <v>0</v>
      </c>
      <c r="P64" s="67">
        <f>IF('Calcoli Titolo II'!$I$78=TRUE,P62/100*$K$21,0)</f>
        <v>0</v>
      </c>
      <c r="Q64" s="67">
        <f>IF('Calcoli Titolo II'!$I$78=TRUE,Q62/100*$K$21,0)</f>
        <v>0</v>
      </c>
      <c r="R64" s="67">
        <f>IF('Calcoli Titolo II'!$I$78=TRUE,R62/100*$K$21,0)</f>
        <v>0</v>
      </c>
      <c r="S64" s="67">
        <f>IF('Calcoli Titolo II'!$I$78=TRUE,S62/100*$K$21,0)</f>
        <v>0</v>
      </c>
      <c r="T64" s="67">
        <f>IF('Calcoli Titolo II'!$I$78=TRUE,T62/100*$K$21,0)</f>
        <v>0</v>
      </c>
      <c r="U64" s="67">
        <f>IF('Calcoli Titolo II'!$I$78=TRUE,U62/100*$K$21,0)</f>
        <v>0</v>
      </c>
      <c r="V64" s="67">
        <f>IF('Calcoli Titolo II'!$I$78=TRUE,V62/100*$K$21,0)</f>
        <v>0</v>
      </c>
      <c r="W64" s="67">
        <f>IF('Calcoli Titolo II'!$I$78=TRUE,W62/100*$K$21,0)</f>
        <v>0</v>
      </c>
      <c r="X64" s="67">
        <f>IF('Calcoli Titolo II'!$I$78=TRUE,X62/100*$K$21,0)</f>
        <v>0</v>
      </c>
    </row>
    <row r="65" spans="1:25" ht="15.75">
      <c r="A65" s="63" t="s">
        <v>96</v>
      </c>
      <c r="B65" s="61"/>
      <c r="C65" s="61"/>
      <c r="D65" s="61"/>
      <c r="E65" s="67">
        <f>IF('Calcoli Titolo II'!$I$74=TRUE,E62/100*$K$19,0)</f>
        <v>54.24634799999999</v>
      </c>
      <c r="F65" s="67">
        <f>IF('Calcoli Titolo II'!$I$74=TRUE,F62/100*$K$19,0)</f>
        <v>20.876953967999984</v>
      </c>
      <c r="G65" s="67">
        <f>IF('Calcoli Titolo II'!$I$74=TRUE,G62/100*$K$19,0)</f>
        <v>19.98074759428798</v>
      </c>
      <c r="H65" s="67">
        <f>IF('Calcoli Titolo II'!$I$74=TRUE,H62/100*$K$19,0)</f>
        <v>19.09012910217939</v>
      </c>
      <c r="I65" s="67">
        <f>IF('Calcoli Titolo II'!$I$74=TRUE,I62/100*$K$19,0)</f>
        <v>18.204998641224584</v>
      </c>
      <c r="J65" s="67">
        <f>IF('Calcoli Titolo II'!$I$74=TRUE,J62/100*$K$19,0)</f>
        <v>17.325256268437659</v>
      </c>
      <c r="K65" s="67">
        <f>IF('Calcoli Titolo II'!$I$74=TRUE,K62/100*$K$19,0)</f>
        <v>16.450801929305499</v>
      </c>
      <c r="L65" s="67">
        <f>IF('Calcoli Titolo II'!$I$74=TRUE,L62/100*$K$19,0)</f>
        <v>15.581535438571171</v>
      </c>
      <c r="M65" s="67">
        <f>IF('Calcoli Titolo II'!$I$74=TRUE,M62/100*$K$19,0)</f>
        <v>14.717356460786089</v>
      </c>
      <c r="N65" s="67">
        <f>IF('Calcoli Titolo II'!$I$74=TRUE,N62/100*$K$19,0)</f>
        <v>13.858164490624285</v>
      </c>
      <c r="O65" s="67">
        <f>IF('Calcoli Titolo II'!$I$74=TRUE,O62/100*$K$19,0)</f>
        <v>13.003858832953656</v>
      </c>
      <c r="P65" s="67">
        <f>IF('Calcoli Titolo II'!$I$74=TRUE,P62/100*$K$19,0)</f>
        <v>37.40683858265696</v>
      </c>
      <c r="Q65" s="67">
        <f>IF('Calcoli Titolo II'!$I$74=TRUE,Q62/100*$K$19,0)</f>
        <v>76.244502604196924</v>
      </c>
      <c r="R65" s="67">
        <f>IF('Calcoli Titolo II'!$I$74=TRUE,R62/100*$K$19,0)</f>
        <v>75.404249510918703</v>
      </c>
      <c r="S65" s="67">
        <f>IF('Calcoli Titolo II'!$I$74=TRUE,S62/100*$K$19,0)</f>
        <v>74.568477644083174</v>
      </c>
      <c r="T65" s="67">
        <f>IF('Calcoli Titolo II'!$I$74=TRUE,T62/100*$K$19,0)</f>
        <v>73.737085051624447</v>
      </c>
      <c r="U65" s="67">
        <f>IF('Calcoli Titolo II'!$I$74=TRUE,U62/100*$K$19,0)</f>
        <v>72.909969466624588</v>
      </c>
      <c r="V65" s="67">
        <f>IF('Calcoli Titolo II'!$I$74=TRUE,V62/100*$K$19,0)</f>
        <v>72.087028285499017</v>
      </c>
      <c r="W65" s="67">
        <f>IF('Calcoli Titolo II'!$I$74=TRUE,W62/100*$K$19,0)</f>
        <v>71.268158545885072</v>
      </c>
      <c r="X65" s="67">
        <f>IF('Calcoli Titolo II'!$I$74=TRUE,X62/100*$K$19,0)</f>
        <v>8.0962280913232387</v>
      </c>
    </row>
    <row r="66" spans="1:25" ht="15.75">
      <c r="A66" s="63" t="s">
        <v>46</v>
      </c>
      <c r="B66" s="61"/>
      <c r="C66" s="61"/>
      <c r="D66" s="61"/>
      <c r="E66" s="67">
        <f>$C$38</f>
        <v>150</v>
      </c>
      <c r="F66" s="67">
        <f t="shared" ref="F66:X66" si="7">$C$38</f>
        <v>150</v>
      </c>
      <c r="G66" s="67">
        <f t="shared" si="7"/>
        <v>150</v>
      </c>
      <c r="H66" s="67">
        <f t="shared" si="7"/>
        <v>150</v>
      </c>
      <c r="I66" s="67">
        <f t="shared" si="7"/>
        <v>150</v>
      </c>
      <c r="J66" s="67">
        <f t="shared" si="7"/>
        <v>150</v>
      </c>
      <c r="K66" s="67">
        <f t="shared" si="7"/>
        <v>150</v>
      </c>
      <c r="L66" s="67">
        <f t="shared" si="7"/>
        <v>150</v>
      </c>
      <c r="M66" s="67">
        <f t="shared" si="7"/>
        <v>150</v>
      </c>
      <c r="N66" s="67">
        <f t="shared" si="7"/>
        <v>150</v>
      </c>
      <c r="O66" s="67">
        <f t="shared" si="7"/>
        <v>150</v>
      </c>
      <c r="P66" s="67">
        <f t="shared" si="7"/>
        <v>150</v>
      </c>
      <c r="Q66" s="67">
        <f t="shared" si="7"/>
        <v>150</v>
      </c>
      <c r="R66" s="67">
        <f t="shared" si="7"/>
        <v>150</v>
      </c>
      <c r="S66" s="67">
        <f t="shared" si="7"/>
        <v>150</v>
      </c>
      <c r="T66" s="67">
        <f t="shared" si="7"/>
        <v>150</v>
      </c>
      <c r="U66" s="67">
        <f t="shared" si="7"/>
        <v>150</v>
      </c>
      <c r="V66" s="67">
        <f t="shared" si="7"/>
        <v>150</v>
      </c>
      <c r="W66" s="67">
        <f t="shared" si="7"/>
        <v>150</v>
      </c>
      <c r="X66" s="67">
        <f t="shared" si="7"/>
        <v>150</v>
      </c>
    </row>
    <row r="67" spans="1:25" ht="15.75">
      <c r="A67" s="63" t="s">
        <v>86</v>
      </c>
      <c r="B67" s="61"/>
      <c r="C67" s="61"/>
      <c r="D67" s="61"/>
      <c r="E67" s="67">
        <f>C40</f>
        <v>30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/>
    </row>
    <row r="68" spans="1:25" ht="15.75">
      <c r="A68" s="63" t="s">
        <v>85</v>
      </c>
      <c r="B68" s="61"/>
      <c r="C68" s="61"/>
      <c r="D68" s="61"/>
      <c r="E68" s="67">
        <f>$C$41</f>
        <v>6</v>
      </c>
      <c r="F68" s="67">
        <f t="shared" ref="F68:X68" si="8">$C$41</f>
        <v>6</v>
      </c>
      <c r="G68" s="67">
        <f t="shared" si="8"/>
        <v>6</v>
      </c>
      <c r="H68" s="67">
        <f t="shared" si="8"/>
        <v>6</v>
      </c>
      <c r="I68" s="67">
        <f t="shared" si="8"/>
        <v>6</v>
      </c>
      <c r="J68" s="67">
        <f t="shared" si="8"/>
        <v>6</v>
      </c>
      <c r="K68" s="67">
        <f t="shared" si="8"/>
        <v>6</v>
      </c>
      <c r="L68" s="67">
        <f t="shared" si="8"/>
        <v>6</v>
      </c>
      <c r="M68" s="67">
        <f t="shared" si="8"/>
        <v>6</v>
      </c>
      <c r="N68" s="67">
        <f t="shared" si="8"/>
        <v>6</v>
      </c>
      <c r="O68" s="67">
        <f t="shared" si="8"/>
        <v>6</v>
      </c>
      <c r="P68" s="67">
        <f t="shared" si="8"/>
        <v>6</v>
      </c>
      <c r="Q68" s="67">
        <f t="shared" si="8"/>
        <v>6</v>
      </c>
      <c r="R68" s="67">
        <f t="shared" si="8"/>
        <v>6</v>
      </c>
      <c r="S68" s="67">
        <f t="shared" si="8"/>
        <v>6</v>
      </c>
      <c r="T68" s="67">
        <f t="shared" si="8"/>
        <v>6</v>
      </c>
      <c r="U68" s="67">
        <f t="shared" si="8"/>
        <v>6</v>
      </c>
      <c r="V68" s="67">
        <f t="shared" si="8"/>
        <v>6</v>
      </c>
      <c r="W68" s="67">
        <f t="shared" si="8"/>
        <v>6</v>
      </c>
      <c r="X68" s="67">
        <f t="shared" si="8"/>
        <v>6</v>
      </c>
    </row>
    <row r="69" spans="1:25" ht="15.75">
      <c r="A69" s="63" t="s">
        <v>147</v>
      </c>
      <c r="B69" s="61"/>
      <c r="C69" s="61"/>
      <c r="D69" s="61"/>
      <c r="E69" s="67">
        <f>$C$42</f>
        <v>505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</row>
    <row r="70" spans="1:25" ht="15.75">
      <c r="A70" s="63" t="s">
        <v>91</v>
      </c>
      <c r="B70" s="61"/>
      <c r="C70" s="61"/>
      <c r="D70" s="61"/>
      <c r="E70" s="67">
        <f>$C$43</f>
        <v>100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</row>
    <row r="71" spans="1:25" ht="15.75">
      <c r="A71" s="63" t="s">
        <v>45</v>
      </c>
      <c r="B71" s="61"/>
      <c r="C71" s="61"/>
      <c r="D71" s="61"/>
      <c r="E71" s="67">
        <f t="shared" ref="E71:X71" si="9">$C$44</f>
        <v>150</v>
      </c>
      <c r="F71" s="67">
        <f t="shared" si="9"/>
        <v>150</v>
      </c>
      <c r="G71" s="67">
        <f t="shared" si="9"/>
        <v>150</v>
      </c>
      <c r="H71" s="67">
        <f t="shared" si="9"/>
        <v>150</v>
      </c>
      <c r="I71" s="67">
        <f t="shared" si="9"/>
        <v>150</v>
      </c>
      <c r="J71" s="67">
        <f t="shared" si="9"/>
        <v>150</v>
      </c>
      <c r="K71" s="67">
        <f t="shared" si="9"/>
        <v>150</v>
      </c>
      <c r="L71" s="67">
        <f t="shared" si="9"/>
        <v>150</v>
      </c>
      <c r="M71" s="67">
        <f t="shared" si="9"/>
        <v>150</v>
      </c>
      <c r="N71" s="67">
        <f t="shared" si="9"/>
        <v>150</v>
      </c>
      <c r="O71" s="67">
        <f t="shared" si="9"/>
        <v>150</v>
      </c>
      <c r="P71" s="67">
        <f t="shared" si="9"/>
        <v>150</v>
      </c>
      <c r="Q71" s="67">
        <f t="shared" si="9"/>
        <v>150</v>
      </c>
      <c r="R71" s="67">
        <f t="shared" si="9"/>
        <v>150</v>
      </c>
      <c r="S71" s="67">
        <f t="shared" si="9"/>
        <v>150</v>
      </c>
      <c r="T71" s="67">
        <f t="shared" si="9"/>
        <v>150</v>
      </c>
      <c r="U71" s="67">
        <f t="shared" si="9"/>
        <v>150</v>
      </c>
      <c r="V71" s="67">
        <f t="shared" si="9"/>
        <v>150</v>
      </c>
      <c r="W71" s="67">
        <f t="shared" si="9"/>
        <v>150</v>
      </c>
      <c r="X71" s="67">
        <f t="shared" si="9"/>
        <v>150</v>
      </c>
    </row>
    <row r="72" spans="1:25" ht="15.75">
      <c r="A72" s="63" t="s">
        <v>98</v>
      </c>
      <c r="B72" s="61"/>
      <c r="C72" s="61"/>
      <c r="D72" s="61"/>
      <c r="E72" s="68">
        <f>SUM(E63:E71)</f>
        <v>1315.1607079999999</v>
      </c>
      <c r="F72" s="68">
        <f>SUM(F63:F71)</f>
        <v>449.99745172799987</v>
      </c>
      <c r="G72" s="68">
        <f t="shared" ref="G72:X72" si="10">SUM(G63:G71)</f>
        <v>443.81592571444787</v>
      </c>
      <c r="H72" s="68">
        <f t="shared" si="10"/>
        <v>437.67294175605787</v>
      </c>
      <c r="I72" s="68">
        <f t="shared" si="10"/>
        <v>431.5678111407542</v>
      </c>
      <c r="J72" s="68">
        <f t="shared" si="10"/>
        <v>425.49984451819819</v>
      </c>
      <c r="K72" s="68">
        <f t="shared" si="10"/>
        <v>419.46835176879949</v>
      </c>
      <c r="L72" s="68">
        <f t="shared" si="10"/>
        <v>413.47264187117037</v>
      </c>
      <c r="M72" s="68">
        <f t="shared" si="10"/>
        <v>407.51202276798608</v>
      </c>
      <c r="N72" s="68">
        <f t="shared" si="10"/>
        <v>401.5858012302034</v>
      </c>
      <c r="O72" s="68">
        <f t="shared" si="10"/>
        <v>395.69328271960342</v>
      </c>
      <c r="P72" s="68">
        <f t="shared" si="10"/>
        <v>564.01127124960828</v>
      </c>
      <c r="Q72" s="68">
        <f t="shared" si="10"/>
        <v>831.89156924433269</v>
      </c>
      <c r="R72" s="68">
        <f t="shared" si="10"/>
        <v>826.09597739582387</v>
      </c>
      <c r="S72" s="68">
        <f t="shared" si="10"/>
        <v>820.33129451944546</v>
      </c>
      <c r="T72" s="68">
        <f t="shared" si="10"/>
        <v>814.59681740735834</v>
      </c>
      <c r="U72" s="68">
        <f t="shared" si="10"/>
        <v>808.8918406800517</v>
      </c>
      <c r="V72" s="68">
        <f t="shared" si="10"/>
        <v>803.21565663587785</v>
      </c>
      <c r="W72" s="68">
        <f t="shared" si="10"/>
        <v>797.56755509854065</v>
      </c>
      <c r="X72" s="68">
        <f t="shared" si="10"/>
        <v>361.84321427092186</v>
      </c>
    </row>
    <row r="73" spans="1:25" ht="11.25" customHeight="1">
      <c r="A73" s="51"/>
      <c r="B73" s="61"/>
      <c r="C73" s="61"/>
      <c r="D73" s="61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1:25" ht="16.5" thickBot="1">
      <c r="A74" s="63" t="s">
        <v>102</v>
      </c>
      <c r="B74" s="61"/>
      <c r="C74" s="61"/>
      <c r="D74" s="61"/>
      <c r="E74" s="69">
        <v>1</v>
      </c>
      <c r="F74" s="69">
        <v>2</v>
      </c>
      <c r="G74" s="69">
        <v>3</v>
      </c>
      <c r="H74" s="69">
        <v>4</v>
      </c>
      <c r="I74" s="69">
        <v>5</v>
      </c>
      <c r="J74" s="69">
        <v>6</v>
      </c>
      <c r="K74" s="69">
        <v>7</v>
      </c>
      <c r="L74" s="69">
        <v>8</v>
      </c>
      <c r="M74" s="69">
        <v>9</v>
      </c>
      <c r="N74" s="69">
        <v>10</v>
      </c>
      <c r="O74" s="69">
        <v>11</v>
      </c>
      <c r="P74" s="69">
        <v>12</v>
      </c>
      <c r="Q74" s="69">
        <v>13</v>
      </c>
      <c r="R74" s="69">
        <v>14</v>
      </c>
      <c r="S74" s="69">
        <v>15</v>
      </c>
      <c r="T74" s="69">
        <v>16</v>
      </c>
      <c r="U74" s="69">
        <v>17</v>
      </c>
      <c r="V74" s="69">
        <v>18</v>
      </c>
      <c r="W74" s="69">
        <v>19</v>
      </c>
      <c r="X74" s="69">
        <v>20</v>
      </c>
    </row>
    <row r="75" spans="1:25" ht="16.5" thickBot="1">
      <c r="A75" s="63" t="s">
        <v>43</v>
      </c>
      <c r="B75" s="61"/>
      <c r="C75" s="61"/>
      <c r="D75" s="61"/>
      <c r="E75" s="70">
        <f>(-(C3*C37))+E59-E72</f>
        <v>-17366.728707999999</v>
      </c>
      <c r="F75" s="70">
        <f t="shared" ref="F75:X75" si="11">E75+F59-F72</f>
        <v>-15373.149647728</v>
      </c>
      <c r="G75" s="70">
        <f t="shared" si="11"/>
        <v>-13391.503312050447</v>
      </c>
      <c r="H75" s="70">
        <f t="shared" si="11"/>
        <v>-11421.587656007034</v>
      </c>
      <c r="I75" s="70">
        <f t="shared" si="11"/>
        <v>-9463.2005600333105</v>
      </c>
      <c r="J75" s="70">
        <f t="shared" si="11"/>
        <v>-7516.1397927719581</v>
      </c>
      <c r="K75" s="70">
        <f t="shared" si="11"/>
        <v>-5580.2029734615371</v>
      </c>
      <c r="L75" s="70">
        <f t="shared" si="11"/>
        <v>-3655.187533891401</v>
      </c>
      <c r="M75" s="70">
        <f t="shared" si="11"/>
        <v>-1740.8906799112162</v>
      </c>
      <c r="N75" s="70">
        <f t="shared" si="11"/>
        <v>162.89064751664966</v>
      </c>
      <c r="O75" s="70">
        <f t="shared" si="11"/>
        <v>2056.3598117338383</v>
      </c>
      <c r="P75" s="70">
        <f t="shared" si="11"/>
        <v>3765.5430202839689</v>
      </c>
      <c r="Q75" s="70">
        <f t="shared" si="11"/>
        <v>5191.1143653042627</v>
      </c>
      <c r="R75" s="70">
        <f t="shared" si="11"/>
        <v>6606.9858644234309</v>
      </c>
      <c r="S75" s="70">
        <f t="shared" si="11"/>
        <v>8013.3625021786638</v>
      </c>
      <c r="T75" s="70">
        <f t="shared" si="11"/>
        <v>9410.4497719648007</v>
      </c>
      <c r="U75" s="70">
        <f t="shared" si="11"/>
        <v>10798.453718528977</v>
      </c>
      <c r="V75" s="70">
        <f t="shared" si="11"/>
        <v>12177.580981024314</v>
      </c>
      <c r="W75" s="70">
        <f t="shared" si="11"/>
        <v>13548.038836636435</v>
      </c>
      <c r="X75" s="70">
        <f t="shared" si="11"/>
        <v>13741.240679098604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H38:I38"/>
    <mergeCell ref="H39:I39"/>
    <mergeCell ref="A15:C15"/>
    <mergeCell ref="A18:C18"/>
    <mergeCell ref="A7:C7"/>
    <mergeCell ref="A9:C9"/>
    <mergeCell ref="A13:C13"/>
    <mergeCell ref="H24:O25"/>
    <mergeCell ref="H37:I37"/>
  </mergeCells>
  <conditionalFormatting sqref="E75:X75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0</formula>
    </cfRule>
  </conditionalFormatting>
  <conditionalFormatting sqref="E61:X6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  <ignoredError sqref="E68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W218"/>
  <sheetViews>
    <sheetView topLeftCell="A49" zoomScaleNormal="100" workbookViewId="0">
      <selection activeCell="O77" sqref="O77"/>
    </sheetView>
  </sheetViews>
  <sheetFormatPr defaultRowHeight="15"/>
  <cols>
    <col min="1" max="3" width="9.140625" style="7" customWidth="1"/>
    <col min="4" max="4" width="11.28515625" style="7" customWidth="1"/>
    <col min="5" max="5" width="10.85546875" style="7" customWidth="1"/>
    <col min="6" max="6" width="11.28515625" style="7" customWidth="1"/>
    <col min="7" max="7" width="9.140625" style="7" customWidth="1"/>
    <col min="8" max="8" width="9.5703125" style="7" customWidth="1"/>
    <col min="9" max="9" width="8.7109375" style="7" customWidth="1"/>
    <col min="10" max="11" width="9.140625" style="7" customWidth="1"/>
    <col min="12" max="12" width="8.5703125" style="7" customWidth="1"/>
    <col min="13" max="13" width="9.140625" style="7" customWidth="1"/>
    <col min="14" max="14" width="9.85546875" style="7" customWidth="1"/>
    <col min="15" max="15" width="8" style="7" customWidth="1"/>
    <col min="16" max="16" width="9.140625" style="7" customWidth="1"/>
    <col min="17" max="17" width="9.140625" style="92" customWidth="1"/>
    <col min="18" max="21" width="9.140625" style="7" customWidth="1"/>
    <col min="22" max="16384" width="9.140625" style="7"/>
  </cols>
  <sheetData>
    <row r="1" spans="4:18" s="2" customFormat="1" ht="18.75">
      <c r="D1" s="158">
        <v>1</v>
      </c>
      <c r="E1" s="3" t="s">
        <v>110</v>
      </c>
      <c r="F1" s="4"/>
      <c r="H1" s="3" t="s">
        <v>17</v>
      </c>
      <c r="I1" s="3"/>
      <c r="J1" s="3"/>
      <c r="K1" s="3">
        <v>1</v>
      </c>
      <c r="L1" s="3">
        <v>1</v>
      </c>
      <c r="M1" s="5">
        <f>'Simulazione 4.2'!C3</f>
        <v>10</v>
      </c>
      <c r="N1" s="3"/>
      <c r="O1" s="3"/>
      <c r="P1" s="3" t="b">
        <f>AND($K$1=1,$L$1=1,$M$1&lt;=20)</f>
        <v>1</v>
      </c>
      <c r="Q1" s="6">
        <v>0</v>
      </c>
      <c r="R1" s="3">
        <f>IF(P1=TRUE,Q1,0)</f>
        <v>0</v>
      </c>
    </row>
    <row r="2" spans="4:18">
      <c r="D2" s="159"/>
      <c r="E2" s="3" t="s">
        <v>111</v>
      </c>
      <c r="F2" s="8"/>
      <c r="H2" s="3" t="s">
        <v>16</v>
      </c>
      <c r="I2" s="3"/>
      <c r="J2" s="3"/>
      <c r="K2" s="3"/>
      <c r="P2" s="3" t="b">
        <f>AND($K$1=1,$L$1=2,$M$1&lt;=20)</f>
        <v>0</v>
      </c>
      <c r="Q2" s="6">
        <v>30</v>
      </c>
      <c r="R2" s="3">
        <f>IF(P2=TRUE,Q2,0)</f>
        <v>0</v>
      </c>
    </row>
    <row r="3" spans="4:18">
      <c r="D3" s="159"/>
      <c r="E3" s="3" t="s">
        <v>112</v>
      </c>
      <c r="F3" s="8"/>
      <c r="H3" s="3" t="s">
        <v>15</v>
      </c>
      <c r="I3" s="3"/>
      <c r="J3" s="3"/>
      <c r="K3" s="3"/>
      <c r="P3" s="3" t="b">
        <f>AND($K$1=1,$L$1=3,$M$1&lt;=20)</f>
        <v>0</v>
      </c>
      <c r="Q3" s="6">
        <v>20</v>
      </c>
      <c r="R3" s="3">
        <f t="shared" ref="R3" si="0">IF(P3=TRUE,Q3,0)</f>
        <v>0</v>
      </c>
    </row>
    <row r="4" spans="4:18">
      <c r="D4" s="159"/>
      <c r="E4" s="3" t="s">
        <v>113</v>
      </c>
      <c r="F4" s="8"/>
      <c r="H4" s="3"/>
      <c r="I4" s="3"/>
      <c r="J4" s="3"/>
      <c r="K4" s="3"/>
      <c r="P4" s="3" t="b">
        <f>AND($K$1=1,$L$1=4,$M$1&lt;=20)</f>
        <v>0</v>
      </c>
      <c r="Q4" s="19">
        <v>50</v>
      </c>
      <c r="R4" s="3">
        <f t="shared" ref="R4:R19" si="1">IF(P4=TRUE,Q4,0)</f>
        <v>0</v>
      </c>
    </row>
    <row r="5" spans="4:18">
      <c r="D5" s="159"/>
      <c r="E5" s="3" t="s">
        <v>114</v>
      </c>
      <c r="F5" s="8"/>
      <c r="H5" s="18"/>
      <c r="P5" s="3" t="b">
        <f>AND($K$1=2,$L$1=1,$M$1&lt;=20)</f>
        <v>0</v>
      </c>
      <c r="Q5" s="6">
        <v>0</v>
      </c>
      <c r="R5" s="3">
        <f t="shared" si="1"/>
        <v>0</v>
      </c>
    </row>
    <row r="6" spans="4:18" ht="15.75" thickBot="1">
      <c r="E6" s="3"/>
      <c r="H6" s="18"/>
      <c r="P6" s="3" t="b">
        <f>AND($K$1=2,$L$1=2,$M$1&lt;=20)</f>
        <v>0</v>
      </c>
      <c r="Q6" s="19">
        <v>20</v>
      </c>
      <c r="R6" s="3">
        <f t="shared" si="1"/>
        <v>0</v>
      </c>
    </row>
    <row r="7" spans="4:18">
      <c r="D7" s="158">
        <v>1</v>
      </c>
      <c r="E7" s="16" t="s">
        <v>0</v>
      </c>
      <c r="F7" s="17"/>
      <c r="H7" s="24"/>
      <c r="I7" s="16" t="s">
        <v>132</v>
      </c>
      <c r="J7" s="16"/>
      <c r="K7" s="16"/>
      <c r="L7" s="17"/>
      <c r="P7" s="3" t="b">
        <f>AND($K$1=2,$L$1=3,$M$1&lt;=20)</f>
        <v>0</v>
      </c>
      <c r="Q7" s="19">
        <v>10</v>
      </c>
      <c r="R7" s="3">
        <f t="shared" si="1"/>
        <v>0</v>
      </c>
    </row>
    <row r="8" spans="4:18" ht="15.75" thickBot="1">
      <c r="D8" s="160"/>
      <c r="E8" s="20" t="s">
        <v>1</v>
      </c>
      <c r="F8" s="21"/>
      <c r="H8" s="23"/>
      <c r="I8" s="3" t="s">
        <v>133</v>
      </c>
      <c r="J8" s="3"/>
      <c r="K8" s="3"/>
      <c r="L8" s="8"/>
      <c r="P8" s="3" t="b">
        <f>AND($K$1=2,$L$1=4,$M$1&lt;=20)</f>
        <v>0</v>
      </c>
      <c r="Q8" s="19">
        <v>30</v>
      </c>
      <c r="R8" s="3">
        <f t="shared" si="1"/>
        <v>0</v>
      </c>
    </row>
    <row r="9" spans="4:18" ht="15.75" thickBot="1">
      <c r="H9" s="30">
        <v>1</v>
      </c>
      <c r="I9" s="20" t="s">
        <v>134</v>
      </c>
      <c r="J9" s="20"/>
      <c r="K9" s="20"/>
      <c r="L9" s="21"/>
      <c r="P9" s="3" t="b">
        <f>AND($K$1=3,$L$1=1,$M$1&lt;=20)</f>
        <v>0</v>
      </c>
      <c r="Q9" s="6">
        <v>0</v>
      </c>
      <c r="R9" s="3">
        <f t="shared" si="1"/>
        <v>0</v>
      </c>
    </row>
    <row r="10" spans="4:18" ht="15.75" thickBot="1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" t="b">
        <f>AND($K$1=3,$L$1=2,$M$1&lt;=20)</f>
        <v>0</v>
      </c>
      <c r="Q10" s="19">
        <v>10</v>
      </c>
      <c r="R10" s="3">
        <f t="shared" si="1"/>
        <v>0</v>
      </c>
    </row>
    <row r="11" spans="4:18">
      <c r="D11" s="24"/>
      <c r="E11" s="16"/>
      <c r="F11" s="155" t="s">
        <v>4</v>
      </c>
      <c r="G11" s="156"/>
      <c r="H11" s="92"/>
      <c r="I11" s="92"/>
      <c r="J11" s="89"/>
      <c r="K11" s="16"/>
      <c r="L11" s="155" t="s">
        <v>5</v>
      </c>
      <c r="M11" s="156"/>
      <c r="N11" s="3"/>
      <c r="O11" s="3"/>
      <c r="P11" s="3" t="b">
        <f>AND($K$1=3,$L$1=3,$M$1&lt;=20)</f>
        <v>0</v>
      </c>
      <c r="Q11" s="19">
        <v>5</v>
      </c>
      <c r="R11" s="3">
        <f t="shared" si="1"/>
        <v>0</v>
      </c>
    </row>
    <row r="12" spans="4:18">
      <c r="D12" s="23"/>
      <c r="E12" s="3"/>
      <c r="F12" s="6" t="s">
        <v>2</v>
      </c>
      <c r="G12" s="27" t="s">
        <v>3</v>
      </c>
      <c r="H12" s="92"/>
      <c r="I12" s="92"/>
      <c r="J12" s="90"/>
      <c r="K12" s="3"/>
      <c r="L12" s="6" t="s">
        <v>2</v>
      </c>
      <c r="M12" s="27" t="s">
        <v>3</v>
      </c>
      <c r="N12" s="28"/>
      <c r="O12" s="28"/>
      <c r="P12" s="3" t="b">
        <f>AND($K$1=3,$L$1=4,$M$1&lt;=20)</f>
        <v>0</v>
      </c>
      <c r="Q12" s="19">
        <v>15</v>
      </c>
      <c r="R12" s="3">
        <f t="shared" si="1"/>
        <v>0</v>
      </c>
    </row>
    <row r="13" spans="4:18">
      <c r="D13" s="23" t="b">
        <f>AND($D$1=1,$D$7=1,'Simulazione 4.2'!$C$3&lt;=3,'Simulazione 4.2'!$C$3&gt;=1)</f>
        <v>0</v>
      </c>
      <c r="E13" s="29" t="s">
        <v>6</v>
      </c>
      <c r="F13" s="6">
        <v>208</v>
      </c>
      <c r="G13" s="27">
        <f t="shared" ref="G13:G18" si="2">F13-82</f>
        <v>126</v>
      </c>
      <c r="H13" s="92">
        <f t="shared" ref="H13:H18" si="3">IF(D13=TRUE,F13,0)</f>
        <v>0</v>
      </c>
      <c r="I13" s="92">
        <f t="shared" ref="I13:I18" si="4">IF(D13=TRUE,G13,0)</f>
        <v>0</v>
      </c>
      <c r="J13" s="23" t="b">
        <f>AND($D$1=1,$D$7=2,'Simulazione 4.2'!$C$3&lt;=3,'Simulazione 4.2'!$C$3&gt;=1)</f>
        <v>0</v>
      </c>
      <c r="K13" s="29" t="s">
        <v>6</v>
      </c>
      <c r="L13" s="6">
        <v>201</v>
      </c>
      <c r="M13" s="27">
        <f t="shared" ref="M13:M18" si="5">L13-82</f>
        <v>119</v>
      </c>
      <c r="N13" s="6">
        <f>IF(J13=TRUE,L13,0)</f>
        <v>0</v>
      </c>
      <c r="O13" s="6">
        <f>IF(J13=TRUE,M13,0)</f>
        <v>0</v>
      </c>
      <c r="P13" s="3" t="b">
        <f>AND($K$1=1,$L$1=1,$M$1&gt;20)</f>
        <v>0</v>
      </c>
      <c r="Q13" s="92">
        <v>0</v>
      </c>
      <c r="R13" s="3">
        <f t="shared" si="1"/>
        <v>0</v>
      </c>
    </row>
    <row r="14" spans="4:18">
      <c r="D14" s="23" t="b">
        <f>AND($D$1=1,$D$7=1,'Simulazione 4.2'!$C$3&lt;=20,'Simulazione 4.2'!$C$3&gt;3)</f>
        <v>1</v>
      </c>
      <c r="E14" s="29" t="s">
        <v>7</v>
      </c>
      <c r="F14" s="6">
        <v>196</v>
      </c>
      <c r="G14" s="27">
        <f t="shared" si="2"/>
        <v>114</v>
      </c>
      <c r="H14" s="92">
        <f t="shared" si="3"/>
        <v>196</v>
      </c>
      <c r="I14" s="92">
        <f t="shared" si="4"/>
        <v>114</v>
      </c>
      <c r="J14" s="23" t="b">
        <f>AND($D$1=1,$D$7=2,'Simulazione 4.2'!$C$3&lt;=20,'Simulazione 4.2'!$C$3&gt;3)</f>
        <v>0</v>
      </c>
      <c r="K14" s="29" t="s">
        <v>7</v>
      </c>
      <c r="L14" s="6">
        <v>189</v>
      </c>
      <c r="M14" s="27">
        <f t="shared" si="5"/>
        <v>107</v>
      </c>
      <c r="N14" s="6">
        <f t="shared" ref="N14:N18" si="6">IF(J14=TRUE,L14,0)</f>
        <v>0</v>
      </c>
      <c r="O14" s="6">
        <f t="shared" ref="O14:O18" si="7">IF(J14=TRUE,M14,0)</f>
        <v>0</v>
      </c>
      <c r="P14" s="3" t="b">
        <f>AND($K$1=1,$L$1=2,$M$1&gt;20)</f>
        <v>0</v>
      </c>
      <c r="Q14" s="92">
        <v>20</v>
      </c>
      <c r="R14" s="3">
        <f t="shared" si="1"/>
        <v>0</v>
      </c>
    </row>
    <row r="15" spans="4:18" ht="22.5" customHeight="1">
      <c r="D15" s="23" t="b">
        <f>AND($D$1=1,$D$7=1,'Simulazione 4.2'!$C$3&lt;=200,'Simulazione 4.2'!$C$3&gt;20)</f>
        <v>0</v>
      </c>
      <c r="E15" s="29" t="s">
        <v>8</v>
      </c>
      <c r="F15" s="6">
        <v>175</v>
      </c>
      <c r="G15" s="27">
        <f t="shared" si="2"/>
        <v>93</v>
      </c>
      <c r="H15" s="92">
        <f t="shared" si="3"/>
        <v>0</v>
      </c>
      <c r="I15" s="92">
        <f t="shared" si="4"/>
        <v>0</v>
      </c>
      <c r="J15" s="23" t="b">
        <f>AND($D$1=1,$D$7=2,'Simulazione 4.2'!$C$3&lt;=200,'Simulazione 4.2'!$C$3&gt;20)</f>
        <v>0</v>
      </c>
      <c r="K15" s="29" t="s">
        <v>8</v>
      </c>
      <c r="L15" s="6">
        <v>168</v>
      </c>
      <c r="M15" s="27">
        <f t="shared" si="5"/>
        <v>86</v>
      </c>
      <c r="N15" s="6">
        <f t="shared" si="6"/>
        <v>0</v>
      </c>
      <c r="O15" s="6">
        <f t="shared" si="7"/>
        <v>0</v>
      </c>
      <c r="P15" s="3" t="b">
        <f>AND($K$1=1,$L$1=3,$M$1&gt;20)</f>
        <v>0</v>
      </c>
      <c r="Q15" s="92">
        <v>20</v>
      </c>
      <c r="R15" s="3">
        <f t="shared" si="1"/>
        <v>0</v>
      </c>
    </row>
    <row r="16" spans="4:18" ht="13.5" customHeight="1">
      <c r="D16" s="23" t="b">
        <f>AND($D$1=1,$D$7=1,'Simulazione 4.2'!$C$3&lt;=1000,'Simulazione 4.2'!$C$3&gt;200)</f>
        <v>0</v>
      </c>
      <c r="E16" s="29" t="s">
        <v>9</v>
      </c>
      <c r="F16" s="6">
        <v>142</v>
      </c>
      <c r="G16" s="27">
        <f t="shared" si="2"/>
        <v>60</v>
      </c>
      <c r="H16" s="92">
        <f t="shared" si="3"/>
        <v>0</v>
      </c>
      <c r="I16" s="92">
        <f t="shared" si="4"/>
        <v>0</v>
      </c>
      <c r="J16" s="23" t="b">
        <f>AND($D$1=1,$D$7=2,'Simulazione 4.2'!$C$3&lt;=1000,'Simulazione 4.2'!$C$3&gt;200)</f>
        <v>0</v>
      </c>
      <c r="K16" s="29" t="s">
        <v>9</v>
      </c>
      <c r="L16" s="6">
        <v>135</v>
      </c>
      <c r="M16" s="27">
        <f t="shared" si="5"/>
        <v>53</v>
      </c>
      <c r="N16" s="6">
        <f t="shared" si="6"/>
        <v>0</v>
      </c>
      <c r="O16" s="6">
        <f t="shared" si="7"/>
        <v>0</v>
      </c>
      <c r="P16" s="3" t="b">
        <f>AND($K$1=1,$L$1=4,$M$1&gt;20)</f>
        <v>0</v>
      </c>
      <c r="Q16" s="92">
        <v>40</v>
      </c>
      <c r="R16" s="3">
        <f t="shared" si="1"/>
        <v>0</v>
      </c>
    </row>
    <row r="17" spans="4:21">
      <c r="D17" s="23" t="b">
        <f>AND($D$1=1,$D$7=1,'Simulazione 4.2'!$C$3&lt;=5000,'Simulazione 4.2'!$C$3&gt;1000)</f>
        <v>0</v>
      </c>
      <c r="E17" s="29" t="s">
        <v>10</v>
      </c>
      <c r="F17" s="6">
        <v>126</v>
      </c>
      <c r="G17" s="27">
        <f t="shared" si="2"/>
        <v>44</v>
      </c>
      <c r="H17" s="92">
        <f t="shared" si="3"/>
        <v>0</v>
      </c>
      <c r="I17" s="92">
        <f t="shared" si="4"/>
        <v>0</v>
      </c>
      <c r="J17" s="23" t="b">
        <f>AND($D$1=1,$D$7=2,'Simulazione 4.2'!$C$3&lt;=5000,'Simulazione 4.2'!$C$3&gt;1000)</f>
        <v>0</v>
      </c>
      <c r="K17" s="29" t="s">
        <v>10</v>
      </c>
      <c r="L17" s="6">
        <v>120</v>
      </c>
      <c r="M17" s="27">
        <f t="shared" si="5"/>
        <v>38</v>
      </c>
      <c r="N17" s="6">
        <f t="shared" si="6"/>
        <v>0</v>
      </c>
      <c r="O17" s="6">
        <f t="shared" si="7"/>
        <v>0</v>
      </c>
      <c r="P17" s="3" t="b">
        <f>AND($K$1=2,$L$1=1,$M$1&gt;20)</f>
        <v>0</v>
      </c>
      <c r="Q17" s="92">
        <v>0</v>
      </c>
      <c r="R17" s="3">
        <f t="shared" si="1"/>
        <v>0</v>
      </c>
    </row>
    <row r="18" spans="4:21" ht="15.75" thickBot="1">
      <c r="D18" s="30" t="b">
        <f>AND($D$1=1,$D$7=1,'Simulazione 4.2'!$C$3&gt;=5000)</f>
        <v>0</v>
      </c>
      <c r="E18" s="36" t="s">
        <v>11</v>
      </c>
      <c r="F18" s="37">
        <v>119</v>
      </c>
      <c r="G18" s="38">
        <f t="shared" si="2"/>
        <v>37</v>
      </c>
      <c r="H18" s="92">
        <f t="shared" si="3"/>
        <v>0</v>
      </c>
      <c r="I18" s="92">
        <f t="shared" si="4"/>
        <v>0</v>
      </c>
      <c r="J18" s="30" t="b">
        <f>AND($D$1=1,$D$7=2,'Simulazione 4.2'!$C$3&gt;=5000)</f>
        <v>0</v>
      </c>
      <c r="K18" s="36" t="s">
        <v>11</v>
      </c>
      <c r="L18" s="37">
        <v>113</v>
      </c>
      <c r="M18" s="38">
        <f t="shared" si="5"/>
        <v>31</v>
      </c>
      <c r="N18" s="6">
        <f t="shared" si="6"/>
        <v>0</v>
      </c>
      <c r="O18" s="6">
        <f t="shared" si="7"/>
        <v>0</v>
      </c>
      <c r="P18" s="3" t="b">
        <f>AND($K$1=2,$L$1=2,$M$1&gt;20)</f>
        <v>0</v>
      </c>
      <c r="Q18" s="92">
        <v>10</v>
      </c>
      <c r="R18" s="3">
        <f t="shared" si="1"/>
        <v>0</v>
      </c>
    </row>
    <row r="19" spans="4:21" ht="15.75" thickBot="1">
      <c r="F19" s="92"/>
      <c r="G19" s="92"/>
      <c r="H19" s="43">
        <f>IF($H$9=1,H13+H14+H15+H16+H17+H18,0)</f>
        <v>196</v>
      </c>
      <c r="I19" s="43">
        <f>IF($H$9=1,I13+I14+I15+I16+I17+I18,0)</f>
        <v>114</v>
      </c>
      <c r="K19" s="92"/>
      <c r="L19" s="92"/>
      <c r="M19" s="92"/>
      <c r="N19" s="43">
        <f>IF($H$9=1,N13+N14+N15+N16+N17+N18,0)</f>
        <v>0</v>
      </c>
      <c r="O19" s="43">
        <f>IF($H$9=1,O13+O14+O15+O16+O17+O18,0)</f>
        <v>0</v>
      </c>
      <c r="P19" s="3" t="b">
        <f>AND($K$1=2,$L$1=3,$M$1&gt;20)</f>
        <v>0</v>
      </c>
      <c r="Q19" s="92">
        <v>10</v>
      </c>
      <c r="R19" s="3">
        <f t="shared" si="1"/>
        <v>0</v>
      </c>
    </row>
    <row r="20" spans="4:21" ht="24" customHeight="1">
      <c r="F20" s="92"/>
      <c r="G20" s="92"/>
      <c r="H20" s="6"/>
      <c r="I20" s="6"/>
      <c r="K20" s="92"/>
      <c r="L20" s="92"/>
      <c r="M20" s="92"/>
      <c r="N20" s="6"/>
      <c r="O20" s="6"/>
      <c r="P20" s="3" t="b">
        <f>AND($K$1=2,$L$1=4,$M$1&gt;20)</f>
        <v>0</v>
      </c>
      <c r="Q20" s="101">
        <v>20</v>
      </c>
      <c r="R20" s="3">
        <f t="shared" ref="R20" si="8">IF(P20=TRUE,Q20,0)</f>
        <v>0</v>
      </c>
    </row>
    <row r="21" spans="4:21" ht="12.75" customHeight="1" thickBot="1">
      <c r="F21" s="157"/>
      <c r="G21" s="157"/>
      <c r="H21" s="92"/>
      <c r="I21" s="92"/>
      <c r="K21" s="92"/>
      <c r="L21" s="157"/>
      <c r="M21" s="157"/>
      <c r="N21" s="92"/>
      <c r="O21" s="92"/>
      <c r="P21" s="3" t="b">
        <f>AND($K$1=3,$L$1=1,$M$1&gt;20)</f>
        <v>0</v>
      </c>
      <c r="Q21" s="50">
        <v>0</v>
      </c>
      <c r="R21" s="47">
        <f t="shared" ref="R21:R24" si="9">IF(P21=TRUE,Q21,0)</f>
        <v>0</v>
      </c>
    </row>
    <row r="22" spans="4:21" s="47" customFormat="1" ht="22.5" customHeight="1">
      <c r="D22" s="93"/>
      <c r="E22" s="94"/>
      <c r="F22" s="95" t="s">
        <v>2</v>
      </c>
      <c r="G22" s="96" t="s">
        <v>3</v>
      </c>
      <c r="H22" s="50"/>
      <c r="I22" s="50"/>
      <c r="J22" s="93"/>
      <c r="K22" s="94"/>
      <c r="L22" s="95" t="s">
        <v>2</v>
      </c>
      <c r="M22" s="96" t="s">
        <v>3</v>
      </c>
      <c r="N22" s="48"/>
      <c r="O22" s="48"/>
      <c r="P22" s="3" t="b">
        <f>AND($K$1=3,$L$1=2,$M$1&gt;20)</f>
        <v>0</v>
      </c>
      <c r="Q22" s="54">
        <v>5</v>
      </c>
      <c r="R22" s="12">
        <f t="shared" si="9"/>
        <v>0</v>
      </c>
    </row>
    <row r="23" spans="4:21" s="51" customFormat="1" ht="15.75">
      <c r="D23" s="23" t="b">
        <f>AND($D$1=2,$D$7=1,'Simulazione 4.2'!$C$3&lt;=3,'Simulazione 4.2'!$C$3&gt;=1)</f>
        <v>0</v>
      </c>
      <c r="E23" s="29" t="s">
        <v>6</v>
      </c>
      <c r="F23" s="52">
        <v>182</v>
      </c>
      <c r="G23" s="53">
        <f t="shared" ref="G23:G28" si="10">F23-82</f>
        <v>100</v>
      </c>
      <c r="H23" s="92">
        <f t="shared" ref="H23:H28" si="11">IF(D23=TRUE,F23,0)</f>
        <v>0</v>
      </c>
      <c r="I23" s="92">
        <f t="shared" ref="I23:I28" si="12">IF(D23=TRUE,G23,0)</f>
        <v>0</v>
      </c>
      <c r="J23" s="23" t="b">
        <f>AND($D$1=2,$D$7=2,'Simulazione 4.2'!$C$3&lt;=3,'Simulazione 4.2'!$C$3&gt;=1)</f>
        <v>0</v>
      </c>
      <c r="K23" s="29" t="s">
        <v>6</v>
      </c>
      <c r="L23" s="52">
        <v>176</v>
      </c>
      <c r="M23" s="53">
        <f t="shared" ref="M23:M28" si="13">L23-82</f>
        <v>94</v>
      </c>
      <c r="N23" s="6">
        <f>IF(J23=TRUE,L23,0)</f>
        <v>0</v>
      </c>
      <c r="O23" s="6">
        <f>IF(J23=TRUE,M23,0)</f>
        <v>0</v>
      </c>
      <c r="P23" s="3" t="b">
        <f>AND($K$1=3,$L$1=3,$M$1&gt;20)</f>
        <v>0</v>
      </c>
      <c r="Q23" s="54">
        <v>5</v>
      </c>
      <c r="R23" s="12">
        <f t="shared" si="9"/>
        <v>0</v>
      </c>
    </row>
    <row r="24" spans="4:21" s="51" customFormat="1" ht="15.75">
      <c r="D24" s="23" t="b">
        <f>AND($D$1=2,$D$7=1,'Simulazione 4.2'!$C$3&lt;=20,'Simulazione 4.2'!$C$3&gt;3)</f>
        <v>0</v>
      </c>
      <c r="E24" s="29" t="s">
        <v>7</v>
      </c>
      <c r="F24" s="52">
        <v>171</v>
      </c>
      <c r="G24" s="53">
        <f t="shared" si="10"/>
        <v>89</v>
      </c>
      <c r="H24" s="92">
        <f t="shared" si="11"/>
        <v>0</v>
      </c>
      <c r="I24" s="92">
        <f t="shared" si="12"/>
        <v>0</v>
      </c>
      <c r="J24" s="23" t="b">
        <f>AND($D$1=2,$D$7=2,'Simulazione 4.2'!$C$3&lt;=20,'Simulazione 4.2'!$C$3&gt;3)</f>
        <v>0</v>
      </c>
      <c r="K24" s="29" t="s">
        <v>7</v>
      </c>
      <c r="L24" s="52">
        <v>165</v>
      </c>
      <c r="M24" s="53">
        <f t="shared" si="13"/>
        <v>83</v>
      </c>
      <c r="N24" s="6">
        <f t="shared" ref="N24:N28" si="14">IF(J24=TRUE,L24,0)</f>
        <v>0</v>
      </c>
      <c r="O24" s="6">
        <f t="shared" ref="O24:O28" si="15">IF(J24=TRUE,M24,0)</f>
        <v>0</v>
      </c>
      <c r="P24" s="3" t="b">
        <f>AND($K$1=3,$L$1=4,$M$1&gt;20)</f>
        <v>0</v>
      </c>
      <c r="Q24" s="54">
        <v>10</v>
      </c>
      <c r="R24" s="12">
        <f t="shared" si="9"/>
        <v>0</v>
      </c>
    </row>
    <row r="25" spans="4:21" s="51" customFormat="1" ht="15.75">
      <c r="D25" s="23" t="b">
        <f>AND($D$1=2,$D$7=1,'Simulazione 4.2'!$C$3&lt;=200,'Simulazione 4.2'!$C$3&gt;20)</f>
        <v>0</v>
      </c>
      <c r="E25" s="29" t="s">
        <v>8</v>
      </c>
      <c r="F25" s="52">
        <v>157</v>
      </c>
      <c r="G25" s="53">
        <f t="shared" si="10"/>
        <v>75</v>
      </c>
      <c r="H25" s="92">
        <f t="shared" si="11"/>
        <v>0</v>
      </c>
      <c r="I25" s="92">
        <f t="shared" si="12"/>
        <v>0</v>
      </c>
      <c r="J25" s="23" t="b">
        <f>AND($D$1=2,$D$7=2,'Simulazione 4.2'!$C$3&lt;=200,'Simulazione 4.2'!$C$3&gt;20)</f>
        <v>0</v>
      </c>
      <c r="K25" s="29" t="s">
        <v>8</v>
      </c>
      <c r="L25" s="52">
        <v>151</v>
      </c>
      <c r="M25" s="53">
        <f t="shared" si="13"/>
        <v>69</v>
      </c>
      <c r="N25" s="6">
        <f t="shared" si="14"/>
        <v>0</v>
      </c>
      <c r="O25" s="6">
        <f t="shared" si="15"/>
        <v>0</v>
      </c>
      <c r="P25" s="12"/>
      <c r="Q25" s="54"/>
      <c r="R25" s="12"/>
    </row>
    <row r="26" spans="4:21" s="47" customFormat="1" ht="22.5" customHeight="1">
      <c r="D26" s="23" t="b">
        <f>AND($D$1=2,$D$7=1,'Simulazione 4.2'!$C$3&lt;=1000,'Simulazione 4.2'!$C$3&gt;200)</f>
        <v>0</v>
      </c>
      <c r="E26" s="29" t="s">
        <v>9</v>
      </c>
      <c r="F26" s="48">
        <v>130</v>
      </c>
      <c r="G26" s="49">
        <f t="shared" si="10"/>
        <v>48</v>
      </c>
      <c r="H26" s="92">
        <f t="shared" si="11"/>
        <v>0</v>
      </c>
      <c r="I26" s="92">
        <f t="shared" si="12"/>
        <v>0</v>
      </c>
      <c r="J26" s="23" t="b">
        <f>AND($D$1=2,$D$7=2,'Simulazione 4.2'!$C$3&lt;=1000,'Simulazione 4.2'!$C$3&gt;200)</f>
        <v>0</v>
      </c>
      <c r="K26" s="29" t="s">
        <v>9</v>
      </c>
      <c r="L26" s="48">
        <v>124</v>
      </c>
      <c r="M26" s="49">
        <f t="shared" si="13"/>
        <v>42</v>
      </c>
      <c r="N26" s="6">
        <f t="shared" si="14"/>
        <v>0</v>
      </c>
      <c r="O26" s="6">
        <f t="shared" si="15"/>
        <v>0</v>
      </c>
      <c r="Q26" s="50"/>
    </row>
    <row r="27" spans="4:21" s="51" customFormat="1" ht="15.75">
      <c r="D27" s="23" t="b">
        <f>AND($D$1=2,$D$7=1,'Simulazione 4.2'!$C$3&lt;=5000,'Simulazione 4.2'!$C$3&gt;1000)</f>
        <v>0</v>
      </c>
      <c r="E27" s="29" t="s">
        <v>10</v>
      </c>
      <c r="F27" s="52">
        <v>118</v>
      </c>
      <c r="G27" s="53">
        <f t="shared" si="10"/>
        <v>36</v>
      </c>
      <c r="H27" s="92">
        <f t="shared" si="11"/>
        <v>0</v>
      </c>
      <c r="I27" s="92">
        <f t="shared" si="12"/>
        <v>0</v>
      </c>
      <c r="J27" s="23" t="b">
        <f>AND($D$1=2,$D$7=2,'Simulazione 4.2'!$C$3&lt;=5000,'Simulazione 4.2'!$C$3&gt;1000)</f>
        <v>0</v>
      </c>
      <c r="K27" s="29" t="s">
        <v>10</v>
      </c>
      <c r="L27" s="52">
        <v>113</v>
      </c>
      <c r="M27" s="53">
        <f t="shared" si="13"/>
        <v>31</v>
      </c>
      <c r="N27" s="6">
        <f t="shared" si="14"/>
        <v>0</v>
      </c>
      <c r="O27" s="6">
        <f t="shared" si="15"/>
        <v>0</v>
      </c>
      <c r="Q27" s="54"/>
      <c r="R27" s="57">
        <f>SUM(R1:R26)</f>
        <v>0</v>
      </c>
    </row>
    <row r="28" spans="4:21" s="51" customFormat="1" ht="16.5" thickBot="1">
      <c r="D28" s="30" t="b">
        <f>AND($D$1=2,$D$7=1,'Simulazione 4.2'!$C$3&gt;=5000)</f>
        <v>0</v>
      </c>
      <c r="E28" s="36" t="s">
        <v>11</v>
      </c>
      <c r="F28" s="58">
        <v>112</v>
      </c>
      <c r="G28" s="59">
        <f t="shared" si="10"/>
        <v>30</v>
      </c>
      <c r="H28" s="92">
        <f t="shared" si="11"/>
        <v>0</v>
      </c>
      <c r="I28" s="92">
        <f t="shared" si="12"/>
        <v>0</v>
      </c>
      <c r="J28" s="30" t="b">
        <f>AND($D$1=2,$D$7=2,'Simulazione 4.2'!$C$3&gt;=5000)</f>
        <v>0</v>
      </c>
      <c r="K28" s="36" t="s">
        <v>11</v>
      </c>
      <c r="L28" s="58">
        <v>106</v>
      </c>
      <c r="M28" s="59">
        <f t="shared" si="13"/>
        <v>24</v>
      </c>
      <c r="N28" s="6">
        <f t="shared" si="14"/>
        <v>0</v>
      </c>
      <c r="O28" s="6">
        <f t="shared" si="15"/>
        <v>0</v>
      </c>
      <c r="Q28" s="54"/>
    </row>
    <row r="29" spans="4:21" s="51" customFormat="1" ht="16.5" thickBot="1">
      <c r="F29" s="54"/>
      <c r="G29" s="54"/>
      <c r="H29" s="43">
        <f>IF($H$9=1,H23+H24+H25+H26+H27+H28,0)</f>
        <v>0</v>
      </c>
      <c r="I29" s="43">
        <f>IF($H$9=1,I23+I24+I25+I26+I27+I28,0)</f>
        <v>0</v>
      </c>
      <c r="K29" s="54"/>
      <c r="L29" s="54"/>
      <c r="M29" s="54"/>
      <c r="N29" s="43">
        <f>IF($H$9=1,N23+N24+N25+N26+N27+N28,0)</f>
        <v>0</v>
      </c>
      <c r="O29" s="43">
        <f>IF($H$9=1,O23+O24+O25+O26+O27+O28,0)</f>
        <v>0</v>
      </c>
      <c r="Q29" s="54"/>
    </row>
    <row r="30" spans="4:21" s="51" customFormat="1" ht="15.75">
      <c r="Q30" s="60" t="s">
        <v>80</v>
      </c>
      <c r="S30" s="51">
        <f t="shared" ref="S30:S39" si="16">IF($R$41=T30,U30,0)</f>
        <v>0</v>
      </c>
      <c r="T30" s="51">
        <v>1</v>
      </c>
      <c r="U30" s="51">
        <v>10</v>
      </c>
    </row>
    <row r="31" spans="4:21" s="51" customFormat="1" ht="16.5" thickBot="1">
      <c r="Q31" s="60" t="s">
        <v>71</v>
      </c>
      <c r="S31" s="51">
        <f t="shared" si="16"/>
        <v>0</v>
      </c>
      <c r="T31" s="51">
        <v>2</v>
      </c>
      <c r="U31" s="51">
        <v>20</v>
      </c>
    </row>
    <row r="32" spans="4:21" s="51" customFormat="1" ht="15.75">
      <c r="D32" s="93"/>
      <c r="E32" s="94"/>
      <c r="F32" s="95" t="s">
        <v>2</v>
      </c>
      <c r="G32" s="96" t="s">
        <v>3</v>
      </c>
      <c r="H32" s="50"/>
      <c r="I32" s="50"/>
      <c r="J32" s="93"/>
      <c r="K32" s="94"/>
      <c r="L32" s="95" t="s">
        <v>2</v>
      </c>
      <c r="M32" s="96" t="s">
        <v>3</v>
      </c>
      <c r="N32" s="48"/>
      <c r="O32" s="48"/>
      <c r="Q32" s="60" t="s">
        <v>72</v>
      </c>
      <c r="S32" s="51">
        <f t="shared" si="16"/>
        <v>0</v>
      </c>
      <c r="T32" s="51">
        <v>3</v>
      </c>
      <c r="U32" s="51">
        <v>30</v>
      </c>
    </row>
    <row r="33" spans="4:21" s="51" customFormat="1" ht="15.75">
      <c r="D33" s="23" t="b">
        <f>AND($D$1=3,$D$7=1,'Simulazione 4.2'!$C$3&lt;=3,'Simulazione 4.2'!$C$3&gt;=1)</f>
        <v>0</v>
      </c>
      <c r="E33" s="29" t="s">
        <v>6</v>
      </c>
      <c r="F33" s="52">
        <v>157</v>
      </c>
      <c r="G33" s="53">
        <f t="shared" ref="G33:G38" si="17">F33-82</f>
        <v>75</v>
      </c>
      <c r="H33" s="92">
        <f t="shared" ref="H33:H38" si="18">IF(D33=TRUE,F33,0)</f>
        <v>0</v>
      </c>
      <c r="I33" s="92">
        <f t="shared" ref="I33:I38" si="19">IF(D33=TRUE,G33,0)</f>
        <v>0</v>
      </c>
      <c r="J33" s="23" t="b">
        <f>AND($D$1=3,$D$7=2,'Simulazione 4.2'!$C$3&lt;=3,'Simulazione 4.2'!$C$3&gt;=1)</f>
        <v>0</v>
      </c>
      <c r="K33" s="29" t="s">
        <v>6</v>
      </c>
      <c r="L33" s="52">
        <v>152</v>
      </c>
      <c r="M33" s="53">
        <f t="shared" ref="M33:M38" si="20">L33-82</f>
        <v>70</v>
      </c>
      <c r="N33" s="6">
        <f>IF(J33=TRUE,L33,0)</f>
        <v>0</v>
      </c>
      <c r="O33" s="6">
        <f>IF(J33=TRUE,M33,0)</f>
        <v>0</v>
      </c>
      <c r="Q33" s="60" t="s">
        <v>73</v>
      </c>
      <c r="S33" s="51">
        <f t="shared" si="16"/>
        <v>0</v>
      </c>
      <c r="T33" s="51">
        <v>4</v>
      </c>
      <c r="U33" s="51">
        <v>40</v>
      </c>
    </row>
    <row r="34" spans="4:21" s="51" customFormat="1" ht="15.75">
      <c r="D34" s="23" t="b">
        <f>AND($D$1=3,$D$7=1,'Simulazione 4.2'!$C$3&lt;=20,'Simulazione 4.2'!$C$3&gt;3)</f>
        <v>0</v>
      </c>
      <c r="E34" s="29" t="s">
        <v>7</v>
      </c>
      <c r="F34" s="52">
        <v>149</v>
      </c>
      <c r="G34" s="53">
        <f t="shared" si="17"/>
        <v>67</v>
      </c>
      <c r="H34" s="92">
        <f t="shared" si="18"/>
        <v>0</v>
      </c>
      <c r="I34" s="92">
        <f t="shared" si="19"/>
        <v>0</v>
      </c>
      <c r="J34" s="23" t="b">
        <f>AND($D$1=3,$D$7=2,'Simulazione 4.2'!$C$3&lt;=20,'Simulazione 4.2'!$C$3&gt;3)</f>
        <v>0</v>
      </c>
      <c r="K34" s="29" t="s">
        <v>7</v>
      </c>
      <c r="L34" s="52">
        <v>144</v>
      </c>
      <c r="M34" s="53">
        <f t="shared" si="20"/>
        <v>62</v>
      </c>
      <c r="N34" s="6">
        <f t="shared" ref="N34:N38" si="21">IF(J34=TRUE,L34,0)</f>
        <v>0</v>
      </c>
      <c r="O34" s="6">
        <f t="shared" ref="O34:O38" si="22">IF(J34=TRUE,M34,0)</f>
        <v>0</v>
      </c>
      <c r="Q34" s="60" t="s">
        <v>74</v>
      </c>
      <c r="S34" s="51">
        <f t="shared" si="16"/>
        <v>50</v>
      </c>
      <c r="T34" s="51">
        <v>5</v>
      </c>
      <c r="U34" s="51">
        <v>50</v>
      </c>
    </row>
    <row r="35" spans="4:21" ht="15.75">
      <c r="D35" s="23" t="b">
        <f>AND($D$1=3,$D$7=1,'Simulazione 4.2'!$C$3&lt;=200,'Simulazione 4.2'!$C$3&gt;20)</f>
        <v>0</v>
      </c>
      <c r="E35" s="29" t="s">
        <v>8</v>
      </c>
      <c r="F35" s="52">
        <v>141</v>
      </c>
      <c r="G35" s="53">
        <f t="shared" si="17"/>
        <v>59</v>
      </c>
      <c r="H35" s="92">
        <f t="shared" si="18"/>
        <v>0</v>
      </c>
      <c r="I35" s="92">
        <f t="shared" si="19"/>
        <v>0</v>
      </c>
      <c r="J35" s="23" t="b">
        <f>AND($D$1=3,$D$7=2,'Simulazione 4.2'!$C$3&lt;=200,'Simulazione 4.2'!$C$3&gt;20)</f>
        <v>0</v>
      </c>
      <c r="K35" s="29" t="s">
        <v>8</v>
      </c>
      <c r="L35" s="52">
        <v>136</v>
      </c>
      <c r="M35" s="53">
        <f t="shared" si="20"/>
        <v>54</v>
      </c>
      <c r="N35" s="6">
        <f t="shared" si="21"/>
        <v>0</v>
      </c>
      <c r="O35" s="6">
        <f t="shared" si="22"/>
        <v>0</v>
      </c>
      <c r="Q35" s="60" t="s">
        <v>75</v>
      </c>
      <c r="S35" s="51">
        <f t="shared" si="16"/>
        <v>0</v>
      </c>
      <c r="T35" s="51">
        <v>6</v>
      </c>
      <c r="U35" s="51">
        <v>60</v>
      </c>
    </row>
    <row r="36" spans="4:21" ht="15.75">
      <c r="D36" s="23" t="b">
        <f>AND($D$1=3,$D$7=1,'Simulazione 4.2'!$C$3&lt;=1000,'Simulazione 4.2'!$C$3&gt;200)</f>
        <v>0</v>
      </c>
      <c r="E36" s="29" t="s">
        <v>9</v>
      </c>
      <c r="F36" s="48">
        <v>118</v>
      </c>
      <c r="G36" s="49">
        <f t="shared" si="17"/>
        <v>36</v>
      </c>
      <c r="H36" s="92">
        <f t="shared" si="18"/>
        <v>0</v>
      </c>
      <c r="I36" s="92">
        <f t="shared" si="19"/>
        <v>0</v>
      </c>
      <c r="J36" s="23" t="b">
        <f>AND($D$1=3,$D$7=2,'Simulazione 4.2'!$C$3&lt;=1000,'Simulazione 4.2'!$C$3&gt;200)</f>
        <v>0</v>
      </c>
      <c r="K36" s="29" t="s">
        <v>9</v>
      </c>
      <c r="L36" s="48">
        <v>113</v>
      </c>
      <c r="M36" s="49">
        <f t="shared" si="20"/>
        <v>31</v>
      </c>
      <c r="N36" s="6">
        <f t="shared" si="21"/>
        <v>0</v>
      </c>
      <c r="O36" s="6">
        <f t="shared" si="22"/>
        <v>0</v>
      </c>
      <c r="Q36" s="60" t="s">
        <v>76</v>
      </c>
      <c r="S36" s="51">
        <f t="shared" si="16"/>
        <v>0</v>
      </c>
      <c r="T36" s="51">
        <v>7</v>
      </c>
      <c r="U36" s="51">
        <v>70</v>
      </c>
    </row>
    <row r="37" spans="4:21" ht="15.75">
      <c r="D37" s="23" t="b">
        <f>AND($D$1=3,$D$7=1,'Simulazione 4.2'!$C$3&lt;=5000,'Simulazione 4.2'!$C$3&gt;1000)</f>
        <v>0</v>
      </c>
      <c r="E37" s="29" t="s">
        <v>10</v>
      </c>
      <c r="F37" s="52">
        <v>110</v>
      </c>
      <c r="G37" s="53">
        <f t="shared" si="17"/>
        <v>28</v>
      </c>
      <c r="H37" s="92">
        <f t="shared" si="18"/>
        <v>0</v>
      </c>
      <c r="I37" s="92">
        <f t="shared" si="19"/>
        <v>0</v>
      </c>
      <c r="J37" s="23" t="b">
        <f>AND($D$1=3,$D$7=2,'Simulazione 4.2'!$C$3&lt;=5000,'Simulazione 4.2'!$C$3&gt;1000)</f>
        <v>0</v>
      </c>
      <c r="K37" s="29" t="s">
        <v>10</v>
      </c>
      <c r="L37" s="52">
        <v>106</v>
      </c>
      <c r="M37" s="53">
        <f t="shared" si="20"/>
        <v>24</v>
      </c>
      <c r="N37" s="6">
        <f t="shared" si="21"/>
        <v>0</v>
      </c>
      <c r="O37" s="6">
        <f t="shared" si="22"/>
        <v>0</v>
      </c>
      <c r="Q37" s="60" t="s">
        <v>77</v>
      </c>
      <c r="S37" s="51">
        <f t="shared" si="16"/>
        <v>0</v>
      </c>
      <c r="T37" s="51">
        <v>8</v>
      </c>
      <c r="U37" s="51">
        <v>80</v>
      </c>
    </row>
    <row r="38" spans="4:21" ht="16.5" thickBot="1">
      <c r="D38" s="30" t="b">
        <f>AND($D$1=3,$D$7=1,'Simulazione 4.2'!$C$3&gt;=5000)</f>
        <v>0</v>
      </c>
      <c r="E38" s="36" t="s">
        <v>11</v>
      </c>
      <c r="F38" s="58">
        <v>104</v>
      </c>
      <c r="G38" s="59">
        <f t="shared" si="17"/>
        <v>22</v>
      </c>
      <c r="H38" s="92">
        <f t="shared" si="18"/>
        <v>0</v>
      </c>
      <c r="I38" s="92">
        <f t="shared" si="19"/>
        <v>0</v>
      </c>
      <c r="J38" s="30" t="b">
        <f>AND($D$1=3,$D$7=2,'Simulazione 4.2'!$C$3&gt;=5000)</f>
        <v>0</v>
      </c>
      <c r="K38" s="36" t="s">
        <v>11</v>
      </c>
      <c r="L38" s="58">
        <v>99</v>
      </c>
      <c r="M38" s="59">
        <f t="shared" si="20"/>
        <v>17</v>
      </c>
      <c r="N38" s="6">
        <f t="shared" si="21"/>
        <v>0</v>
      </c>
      <c r="O38" s="6">
        <f t="shared" si="22"/>
        <v>0</v>
      </c>
      <c r="Q38" s="60" t="s">
        <v>78</v>
      </c>
      <c r="S38" s="51">
        <f t="shared" si="16"/>
        <v>0</v>
      </c>
      <c r="T38" s="51">
        <v>9</v>
      </c>
      <c r="U38" s="51">
        <v>90</v>
      </c>
    </row>
    <row r="39" spans="4:21" ht="16.5" thickBot="1">
      <c r="D39" s="51"/>
      <c r="E39" s="51"/>
      <c r="F39" s="54"/>
      <c r="G39" s="54"/>
      <c r="H39" s="43">
        <f>IF($H$9=1,H33+H34+H35+H36+H37+H38,0)</f>
        <v>0</v>
      </c>
      <c r="I39" s="43">
        <f>IF($H$9=1,I33+I34+I35+I36+I37+I38,0)</f>
        <v>0</v>
      </c>
      <c r="J39" s="51"/>
      <c r="K39" s="54"/>
      <c r="L39" s="54"/>
      <c r="M39" s="54"/>
      <c r="N39" s="43">
        <f>IF($H$9=1,N33+N34+N35+N36+N37+N38,0)</f>
        <v>0</v>
      </c>
      <c r="O39" s="43">
        <f>IF($H$9=1,O33+O34+O35+O36+O37+O38,0)</f>
        <v>0</v>
      </c>
      <c r="Q39" s="60" t="s">
        <v>79</v>
      </c>
      <c r="S39" s="51">
        <f t="shared" si="16"/>
        <v>0</v>
      </c>
      <c r="T39" s="51">
        <v>10</v>
      </c>
      <c r="U39" s="51">
        <v>100</v>
      </c>
    </row>
    <row r="40" spans="4:21" ht="15.75">
      <c r="D40" s="3"/>
      <c r="E40" s="3"/>
      <c r="F40" s="6"/>
      <c r="G40" s="6"/>
      <c r="H40" s="6"/>
      <c r="I40" s="6"/>
      <c r="J40" s="3"/>
      <c r="K40" s="6"/>
      <c r="L40" s="6"/>
      <c r="M40" s="6"/>
      <c r="N40" s="6"/>
      <c r="O40" s="6"/>
      <c r="Q40" s="60"/>
      <c r="S40" s="51"/>
    </row>
    <row r="41" spans="4:21" ht="15.75">
      <c r="Q41" s="60"/>
      <c r="R41" s="7">
        <v>5</v>
      </c>
      <c r="S41" s="97">
        <f>SUM(S30:S39)</f>
        <v>50</v>
      </c>
    </row>
    <row r="42" spans="4:21" ht="15.75">
      <c r="Q42" s="60"/>
      <c r="S42" s="51"/>
    </row>
    <row r="43" spans="4:21" ht="16.5" thickBot="1">
      <c r="Q43" s="60"/>
      <c r="S43" s="51"/>
    </row>
    <row r="44" spans="4:21" ht="15.75">
      <c r="D44" s="93"/>
      <c r="E44" s="94"/>
      <c r="F44" s="95" t="s">
        <v>2</v>
      </c>
      <c r="G44" s="96" t="s">
        <v>3</v>
      </c>
      <c r="H44" s="50"/>
      <c r="I44" s="50"/>
      <c r="J44" s="93"/>
      <c r="K44" s="94"/>
      <c r="L44" s="95" t="s">
        <v>2</v>
      </c>
      <c r="M44" s="96" t="s">
        <v>3</v>
      </c>
      <c r="N44" s="48"/>
      <c r="O44" s="48"/>
      <c r="P44" s="92"/>
      <c r="Q44" s="60"/>
      <c r="S44" s="51"/>
    </row>
    <row r="45" spans="4:21" ht="15.75">
      <c r="D45" s="23" t="b">
        <f>AND($D$1=4,$D$7=1,'Simulazione 4.2'!$C$3&lt;=3,'Simulazione 4.2'!$C$3&gt;=1)</f>
        <v>0</v>
      </c>
      <c r="E45" s="29" t="s">
        <v>6</v>
      </c>
      <c r="F45" s="52">
        <v>144</v>
      </c>
      <c r="G45" s="53">
        <f t="shared" ref="G45:G50" si="23">F45-82</f>
        <v>62</v>
      </c>
      <c r="H45" s="92">
        <f t="shared" ref="H45:H50" si="24">IF(D45=TRUE,F45,0)</f>
        <v>0</v>
      </c>
      <c r="I45" s="92">
        <f t="shared" ref="I45:I50" si="25">IF(D45=TRUE,G45,0)</f>
        <v>0</v>
      </c>
      <c r="J45" s="23" t="b">
        <f>AND($D$1=4,$D$7=2,'Simulazione 4.2'!$C$3&lt;=3,'Simulazione 4.2'!$C$3&gt;=1)</f>
        <v>0</v>
      </c>
      <c r="K45" s="29" t="s">
        <v>6</v>
      </c>
      <c r="L45" s="52">
        <v>140</v>
      </c>
      <c r="M45" s="53">
        <f t="shared" ref="M45:M50" si="26">L45-82</f>
        <v>58</v>
      </c>
      <c r="N45" s="6">
        <f>IF(J45=TRUE,L45,0)</f>
        <v>0</v>
      </c>
      <c r="O45" s="6">
        <f>IF(J45=TRUE,M45,0)</f>
        <v>0</v>
      </c>
      <c r="P45" s="92"/>
      <c r="Q45" s="60"/>
      <c r="S45" s="51"/>
    </row>
    <row r="46" spans="4:21" ht="15.75">
      <c r="D46" s="23" t="b">
        <f>AND($D$1=4,$D$7=1,'Simulazione 4.2'!$C$3&lt;=20,'Simulazione 4.2'!$C$3&gt;3)</f>
        <v>0</v>
      </c>
      <c r="E46" s="29" t="s">
        <v>7</v>
      </c>
      <c r="F46" s="52">
        <v>137</v>
      </c>
      <c r="G46" s="53">
        <f t="shared" si="23"/>
        <v>55</v>
      </c>
      <c r="H46" s="92">
        <f t="shared" si="24"/>
        <v>0</v>
      </c>
      <c r="I46" s="92">
        <f t="shared" si="25"/>
        <v>0</v>
      </c>
      <c r="J46" s="23" t="b">
        <f>AND($D$1=4,$D$7=2,'Simulazione 4.2'!$C$3&lt;=20,'Simulazione 4.2'!$C$3&gt;3)</f>
        <v>0</v>
      </c>
      <c r="K46" s="29" t="s">
        <v>7</v>
      </c>
      <c r="L46" s="52">
        <v>133</v>
      </c>
      <c r="M46" s="53">
        <f t="shared" si="26"/>
        <v>51</v>
      </c>
      <c r="N46" s="6">
        <f t="shared" ref="N46:N50" si="27">IF(J46=TRUE,L46,0)</f>
        <v>0</v>
      </c>
      <c r="O46" s="6">
        <f t="shared" ref="O46:O50" si="28">IF(J46=TRUE,M46,0)</f>
        <v>0</v>
      </c>
      <c r="Q46" s="60" t="s">
        <v>28</v>
      </c>
      <c r="S46" s="51"/>
    </row>
    <row r="47" spans="4:21" ht="15.75">
      <c r="D47" s="23" t="b">
        <f>AND($D$1=4,$D$7=1,'Simulazione 4.2'!$C$3&lt;=200,'Simulazione 4.2'!$C$3&gt;20)</f>
        <v>0</v>
      </c>
      <c r="E47" s="29" t="s">
        <v>8</v>
      </c>
      <c r="F47" s="52">
        <v>131</v>
      </c>
      <c r="G47" s="53">
        <f t="shared" si="23"/>
        <v>49</v>
      </c>
      <c r="H47" s="92">
        <f t="shared" si="24"/>
        <v>0</v>
      </c>
      <c r="I47" s="92">
        <f t="shared" si="25"/>
        <v>0</v>
      </c>
      <c r="J47" s="23" t="b">
        <f>AND($D$1=4,$D$7=2,'Simulazione 4.2'!$C$3&lt;=200,'Simulazione 4.2'!$C$3&gt;20)</f>
        <v>0</v>
      </c>
      <c r="K47" s="29" t="s">
        <v>8</v>
      </c>
      <c r="L47" s="52">
        <v>126</v>
      </c>
      <c r="M47" s="53">
        <f t="shared" si="26"/>
        <v>44</v>
      </c>
      <c r="N47" s="6">
        <f t="shared" si="27"/>
        <v>0</v>
      </c>
      <c r="O47" s="6">
        <f t="shared" si="28"/>
        <v>0</v>
      </c>
      <c r="Q47" s="60" t="s">
        <v>82</v>
      </c>
      <c r="S47" s="51"/>
    </row>
    <row r="48" spans="4:21" ht="15.75">
      <c r="D48" s="23" t="b">
        <f>AND($D$1=4,$D$7=1,'Simulazione 4.2'!$C$3&lt;=1000,'Simulazione 4.2'!$C$3&gt;200)</f>
        <v>0</v>
      </c>
      <c r="E48" s="29" t="s">
        <v>9</v>
      </c>
      <c r="F48" s="48">
        <v>111</v>
      </c>
      <c r="G48" s="49">
        <f t="shared" si="23"/>
        <v>29</v>
      </c>
      <c r="H48" s="92">
        <f t="shared" si="24"/>
        <v>0</v>
      </c>
      <c r="I48" s="92">
        <f t="shared" si="25"/>
        <v>0</v>
      </c>
      <c r="J48" s="23" t="b">
        <f>AND($D$1=4,$D$7=2,'Simulazione 4.2'!$C$3&lt;=1000,'Simulazione 4.2'!$C$3&gt;200)</f>
        <v>0</v>
      </c>
      <c r="K48" s="29" t="s">
        <v>9</v>
      </c>
      <c r="L48" s="48">
        <v>107</v>
      </c>
      <c r="M48" s="49">
        <f t="shared" si="26"/>
        <v>25</v>
      </c>
      <c r="N48" s="6">
        <f t="shared" si="27"/>
        <v>0</v>
      </c>
      <c r="O48" s="6">
        <f t="shared" si="28"/>
        <v>0</v>
      </c>
      <c r="Q48" s="60"/>
      <c r="S48" s="51"/>
    </row>
    <row r="49" spans="4:19" ht="15.75">
      <c r="D49" s="23" t="b">
        <f>AND($D$1=4,$D$7=1,'Simulazione 4.2'!$C$3&lt;=5000,'Simulazione 4.2'!$C$3&gt;1000)</f>
        <v>0</v>
      </c>
      <c r="E49" s="29" t="s">
        <v>10</v>
      </c>
      <c r="F49" s="52">
        <v>105</v>
      </c>
      <c r="G49" s="53">
        <f t="shared" si="23"/>
        <v>23</v>
      </c>
      <c r="H49" s="92">
        <f t="shared" si="24"/>
        <v>0</v>
      </c>
      <c r="I49" s="92">
        <f t="shared" si="25"/>
        <v>0</v>
      </c>
      <c r="J49" s="23" t="b">
        <f>AND($D$1=4,$D$7=2,'Simulazione 4.2'!$C$3&lt;=5000,'Simulazione 4.2'!$C$3&gt;1000)</f>
        <v>0</v>
      </c>
      <c r="K49" s="29" t="s">
        <v>10</v>
      </c>
      <c r="L49" s="52">
        <v>101</v>
      </c>
      <c r="M49" s="53">
        <f t="shared" si="26"/>
        <v>19</v>
      </c>
      <c r="N49" s="6">
        <f t="shared" si="27"/>
        <v>0</v>
      </c>
      <c r="O49" s="6">
        <f t="shared" si="28"/>
        <v>0</v>
      </c>
      <c r="Q49" s="60">
        <v>1</v>
      </c>
      <c r="S49" s="51"/>
    </row>
    <row r="50" spans="4:19" ht="16.5" thickBot="1">
      <c r="D50" s="30" t="b">
        <f>AND($D$1=4,$D$7=1,'Simulazione 4.2'!$C$3&gt;=5000)</f>
        <v>0</v>
      </c>
      <c r="E50" s="36" t="s">
        <v>11</v>
      </c>
      <c r="F50" s="58">
        <v>99</v>
      </c>
      <c r="G50" s="59">
        <f t="shared" si="23"/>
        <v>17</v>
      </c>
      <c r="H50" s="92">
        <f t="shared" si="24"/>
        <v>0</v>
      </c>
      <c r="I50" s="92">
        <f t="shared" si="25"/>
        <v>0</v>
      </c>
      <c r="J50" s="30" t="b">
        <f>AND($D$1=4,$D$7=2,'Simulazione 4.2'!$C$3&gt;=5000)</f>
        <v>0</v>
      </c>
      <c r="K50" s="36" t="s">
        <v>11</v>
      </c>
      <c r="L50" s="58">
        <v>95</v>
      </c>
      <c r="M50" s="59">
        <f t="shared" si="26"/>
        <v>13</v>
      </c>
      <c r="N50" s="6">
        <f t="shared" si="27"/>
        <v>0</v>
      </c>
      <c r="O50" s="6">
        <f t="shared" si="28"/>
        <v>0</v>
      </c>
    </row>
    <row r="51" spans="4:19" ht="16.5" thickBot="1">
      <c r="D51" s="51"/>
      <c r="E51" s="51"/>
      <c r="F51" s="54"/>
      <c r="G51" s="54"/>
      <c r="H51" s="43">
        <f>IF($H$9=1,H45+H46+H47+H48+H49+H50,0)</f>
        <v>0</v>
      </c>
      <c r="I51" s="43">
        <f>IF($H$9=1,I45+I46+I47+I48+I49+I50,0)</f>
        <v>0</v>
      </c>
      <c r="J51" s="51"/>
      <c r="K51" s="54"/>
      <c r="L51" s="54"/>
      <c r="M51" s="54"/>
      <c r="N51" s="43">
        <f>IF($H$9=1,N45+N46+N47+N48+N49+N50,0)</f>
        <v>0</v>
      </c>
      <c r="O51" s="43">
        <f>IF($H$9=1,O45+O46+O47+O48+O49+O50,0)</f>
        <v>0</v>
      </c>
      <c r="P51" s="22"/>
      <c r="Q51" s="22" t="s">
        <v>28</v>
      </c>
      <c r="R51" s="22"/>
    </row>
    <row r="52" spans="4:19">
      <c r="D52" s="3"/>
      <c r="E52" s="29"/>
      <c r="F52" s="6"/>
      <c r="G52" s="6"/>
      <c r="H52" s="6"/>
      <c r="I52" s="6"/>
      <c r="J52" s="3"/>
      <c r="K52" s="29"/>
      <c r="L52" s="6"/>
      <c r="M52" s="6"/>
      <c r="N52" s="6"/>
      <c r="O52" s="6"/>
      <c r="Q52" s="104" t="b">
        <f>AND(Q49=1,'Simulazione 4.2'!C31&lt;'Simulazione 4.2'!C30)</f>
        <v>1</v>
      </c>
      <c r="S52" s="7">
        <f>IF(Q52=TRUE,'Simulazione 4.2'!$C$31/100*'Calcoli Titolo II'!$S$41,0)</f>
        <v>1250</v>
      </c>
    </row>
    <row r="53" spans="4:19">
      <c r="D53" s="3"/>
      <c r="E53" s="29"/>
      <c r="F53" s="6"/>
      <c r="G53" s="6"/>
      <c r="H53" s="6"/>
      <c r="I53" s="6"/>
      <c r="J53" s="3"/>
      <c r="K53" s="29"/>
      <c r="L53" s="6"/>
      <c r="M53" s="6"/>
      <c r="N53" s="6"/>
      <c r="O53" s="6"/>
      <c r="Q53" s="104" t="b">
        <f>AND(Q49=1,'Simulazione 4.2'!C31&gt;'Simulazione 4.2'!C30)</f>
        <v>0</v>
      </c>
      <c r="S53" s="7" t="b">
        <f>IF(Q53=TRUE,'Simulazione 4.2'!$C$30/100*'Calcoli Titolo II'!$S$41)</f>
        <v>0</v>
      </c>
    </row>
    <row r="54" spans="4:19">
      <c r="D54" s="3"/>
      <c r="E54" s="3"/>
      <c r="F54" s="6"/>
      <c r="G54" s="6"/>
      <c r="H54" s="6"/>
      <c r="I54" s="6"/>
      <c r="J54" s="3"/>
      <c r="K54" s="6"/>
      <c r="L54" s="6"/>
      <c r="M54" s="6"/>
      <c r="N54" s="6"/>
      <c r="O54" s="6"/>
    </row>
    <row r="55" spans="4:19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S55" s="7">
        <f>SUM(S52:S54)</f>
        <v>1250</v>
      </c>
    </row>
    <row r="57" spans="4:19" ht="15.75" thickBot="1"/>
    <row r="58" spans="4:19" ht="15.75">
      <c r="D58" s="93"/>
      <c r="E58" s="94"/>
      <c r="F58" s="95" t="s">
        <v>2</v>
      </c>
      <c r="G58" s="96" t="s">
        <v>3</v>
      </c>
      <c r="H58" s="50"/>
      <c r="I58" s="50"/>
      <c r="J58" s="93"/>
      <c r="K58" s="94"/>
      <c r="L58" s="95" t="s">
        <v>2</v>
      </c>
      <c r="M58" s="96" t="s">
        <v>3</v>
      </c>
      <c r="N58" s="48"/>
      <c r="O58" s="48"/>
      <c r="P58" s="92"/>
    </row>
    <row r="59" spans="4:19" ht="15.75">
      <c r="D59" s="23" t="b">
        <f>AND($D$1=5,$D$7=1,'Simulazione 4.2'!$C$3&lt;=3,'Simulazione 4.2'!$C$3&gt;=1)</f>
        <v>0</v>
      </c>
      <c r="E59" s="29" t="s">
        <v>6</v>
      </c>
      <c r="F59" s="52">
        <v>133</v>
      </c>
      <c r="G59" s="53">
        <f t="shared" ref="G59:G64" si="29">F59-82</f>
        <v>51</v>
      </c>
      <c r="H59" s="54">
        <f t="shared" ref="H59:H64" si="30">IF(D59=TRUE,F59,0)</f>
        <v>0</v>
      </c>
      <c r="I59" s="92">
        <f t="shared" ref="I59:I64" si="31">IF(D59=TRUE,G59,0)</f>
        <v>0</v>
      </c>
      <c r="J59" s="23" t="b">
        <f>AND($D$1=5,$D$7=2,'Simulazione 4.2'!$C$3&lt;=3,'Simulazione 4.2'!$C$3&gt;=1)</f>
        <v>0</v>
      </c>
      <c r="K59" s="29" t="s">
        <v>6</v>
      </c>
      <c r="L59" s="52">
        <v>130</v>
      </c>
      <c r="M59" s="53">
        <f t="shared" ref="M59:M64" si="32">L59-82</f>
        <v>48</v>
      </c>
      <c r="N59" s="6">
        <f>IF(J59=TRUE,L59,0)</f>
        <v>0</v>
      </c>
      <c r="O59" s="6">
        <f>IF(J59=TRUE,M59,0)</f>
        <v>0</v>
      </c>
      <c r="P59" s="92"/>
    </row>
    <row r="60" spans="4:19" ht="15.75">
      <c r="D60" s="23" t="b">
        <f>AND($D$1=5,$D$7=1,'Simulazione 4.2'!$C$3&lt;=20,'Simulazione 4.2'!$C$3&gt;3)</f>
        <v>0</v>
      </c>
      <c r="E60" s="29" t="s">
        <v>7</v>
      </c>
      <c r="F60" s="52">
        <v>128</v>
      </c>
      <c r="G60" s="53">
        <f t="shared" si="29"/>
        <v>46</v>
      </c>
      <c r="H60" s="54">
        <f t="shared" si="30"/>
        <v>0</v>
      </c>
      <c r="I60" s="92">
        <f t="shared" si="31"/>
        <v>0</v>
      </c>
      <c r="J60" s="23" t="b">
        <f>AND($D$1=5,$D$7=2,'Simulazione 4.2'!$C$3&lt;=20,'Simulazione 4.2'!$C$3&gt;3)</f>
        <v>0</v>
      </c>
      <c r="K60" s="29" t="s">
        <v>7</v>
      </c>
      <c r="L60" s="52">
        <v>124</v>
      </c>
      <c r="M60" s="53">
        <f t="shared" si="32"/>
        <v>42</v>
      </c>
      <c r="N60" s="6">
        <f t="shared" ref="N60:N64" si="33">IF(J60=TRUE,L60,0)</f>
        <v>0</v>
      </c>
      <c r="O60" s="6">
        <f t="shared" ref="O60:O64" si="34">IF(J60=TRUE,M60,0)</f>
        <v>0</v>
      </c>
    </row>
    <row r="61" spans="4:19" ht="15.75">
      <c r="D61" s="23" t="b">
        <f>AND($D$1=5,$D$7=1,'Simulazione 4.2'!$C$3&lt;=200,'Simulazione 4.2'!$C$3&gt;20)</f>
        <v>0</v>
      </c>
      <c r="E61" s="29" t="s">
        <v>8</v>
      </c>
      <c r="F61" s="52">
        <v>122</v>
      </c>
      <c r="G61" s="53">
        <f t="shared" si="29"/>
        <v>40</v>
      </c>
      <c r="H61" s="54">
        <f t="shared" si="30"/>
        <v>0</v>
      </c>
      <c r="I61" s="92">
        <f t="shared" si="31"/>
        <v>0</v>
      </c>
      <c r="J61" s="23" t="b">
        <f>AND($D$1=5,$D$7=2,'Simulazione 4.2'!$C$3&lt;=200,'Simulazione 4.2'!$C$3&gt;20)</f>
        <v>0</v>
      </c>
      <c r="K61" s="29" t="s">
        <v>8</v>
      </c>
      <c r="L61" s="52">
        <v>118</v>
      </c>
      <c r="M61" s="53">
        <f t="shared" si="32"/>
        <v>36</v>
      </c>
      <c r="N61" s="6">
        <f t="shared" si="33"/>
        <v>0</v>
      </c>
      <c r="O61" s="6">
        <f t="shared" si="34"/>
        <v>0</v>
      </c>
    </row>
    <row r="62" spans="4:19" ht="15.75">
      <c r="D62" s="23" t="b">
        <f>AND($D$1=5,$D$7=1,'Simulazione 4.2'!$C$3&lt;=1000,'Simulazione 4.2'!$C$3&gt;200)</f>
        <v>0</v>
      </c>
      <c r="E62" s="29" t="s">
        <v>9</v>
      </c>
      <c r="F62" s="48">
        <v>106</v>
      </c>
      <c r="G62" s="49">
        <f t="shared" si="29"/>
        <v>24</v>
      </c>
      <c r="H62" s="50">
        <f t="shared" si="30"/>
        <v>0</v>
      </c>
      <c r="I62" s="92">
        <f t="shared" si="31"/>
        <v>0</v>
      </c>
      <c r="J62" s="23" t="b">
        <f>AND($D$1=5,$D$7=2,'Simulazione 4.2'!$C$3&lt;=1000,'Simulazione 4.2'!$C$3&gt;200)</f>
        <v>0</v>
      </c>
      <c r="K62" s="29" t="s">
        <v>9</v>
      </c>
      <c r="L62" s="48">
        <v>102</v>
      </c>
      <c r="M62" s="49">
        <f t="shared" si="32"/>
        <v>20</v>
      </c>
      <c r="N62" s="6">
        <f t="shared" si="33"/>
        <v>0</v>
      </c>
      <c r="O62" s="6">
        <f t="shared" si="34"/>
        <v>0</v>
      </c>
    </row>
    <row r="63" spans="4:19" ht="15.75">
      <c r="D63" s="23" t="b">
        <f>AND($D$1=5,$D$7=1,'Simulazione 4.2'!$C$3&lt;=5000,'Simulazione 4.2'!$C$3&gt;1000)</f>
        <v>0</v>
      </c>
      <c r="E63" s="29" t="s">
        <v>10</v>
      </c>
      <c r="F63" s="52">
        <v>100</v>
      </c>
      <c r="G63" s="53">
        <f t="shared" si="29"/>
        <v>18</v>
      </c>
      <c r="H63" s="54">
        <f t="shared" si="30"/>
        <v>0</v>
      </c>
      <c r="I63" s="92">
        <f t="shared" si="31"/>
        <v>0</v>
      </c>
      <c r="J63" s="23" t="b">
        <f>AND($D$1=5,$D$7=2,'Simulazione 4.2'!$C$3&lt;=5000,'Simulazione 4.2'!$C$3&gt;1000)</f>
        <v>0</v>
      </c>
      <c r="K63" s="29" t="s">
        <v>10</v>
      </c>
      <c r="L63" s="52">
        <v>97</v>
      </c>
      <c r="M63" s="53">
        <f t="shared" si="32"/>
        <v>15</v>
      </c>
      <c r="N63" s="6">
        <f t="shared" si="33"/>
        <v>0</v>
      </c>
      <c r="O63" s="6">
        <f t="shared" si="34"/>
        <v>0</v>
      </c>
    </row>
    <row r="64" spans="4:19" ht="16.5" thickBot="1">
      <c r="D64" s="30" t="b">
        <f>AND($D$1=5,$D$7=1,'Simulazione 4.2'!$C$3&gt;=5000)</f>
        <v>0</v>
      </c>
      <c r="E64" s="36" t="s">
        <v>11</v>
      </c>
      <c r="F64" s="58">
        <v>95</v>
      </c>
      <c r="G64" s="59">
        <f t="shared" si="29"/>
        <v>13</v>
      </c>
      <c r="H64" s="54">
        <f t="shared" si="30"/>
        <v>0</v>
      </c>
      <c r="I64" s="92">
        <f t="shared" si="31"/>
        <v>0</v>
      </c>
      <c r="J64" s="30" t="b">
        <f>AND($D$1=5,$D$7=2,'Simulazione 4.2'!$C$3&gt;=5000)</f>
        <v>0</v>
      </c>
      <c r="K64" s="36" t="s">
        <v>11</v>
      </c>
      <c r="L64" s="58">
        <v>92</v>
      </c>
      <c r="M64" s="59">
        <f t="shared" si="32"/>
        <v>10</v>
      </c>
      <c r="N64" s="6">
        <f t="shared" si="33"/>
        <v>0</v>
      </c>
      <c r="O64" s="6">
        <f t="shared" si="34"/>
        <v>0</v>
      </c>
    </row>
    <row r="65" spans="3:23" ht="16.5" thickBot="1">
      <c r="D65" s="51"/>
      <c r="E65" s="51"/>
      <c r="F65" s="54"/>
      <c r="G65" s="54"/>
      <c r="H65" s="43">
        <f>IF($H$9=1,H59+H60+H61+H62+H63+H64,0)</f>
        <v>0</v>
      </c>
      <c r="I65" s="43">
        <f>IF($H$9=1,I59+I60+I61+I62+I63+I64,0)</f>
        <v>0</v>
      </c>
      <c r="J65" s="54"/>
      <c r="K65" s="54"/>
      <c r="L65" s="54"/>
      <c r="M65" s="54"/>
      <c r="N65" s="43">
        <f>IF($H$9=1,N59+N60+N61+N62+N63+N64,0)</f>
        <v>0</v>
      </c>
      <c r="O65" s="43">
        <f>IF($H$9=1,O59+O60+O61+O62+O63+O64,0)</f>
        <v>0</v>
      </c>
    </row>
    <row r="66" spans="3:23"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6"/>
      <c r="R66" s="3"/>
    </row>
    <row r="67" spans="3:23">
      <c r="D67" s="117">
        <f>IF($D$76&gt;1,'Simulazione 4.2'!E56+'Simulazione 4.2'!E57-'Simulazione 4.2'!E61,0)</f>
        <v>1390.9319999999998</v>
      </c>
      <c r="E67" s="117">
        <f>IF($D$76&gt;1,'Simulazione 4.2'!F56+'Simulazione 4.2'!F57-'Simulazione 4.2'!F61,0)</f>
        <v>535.30651199999966</v>
      </c>
      <c r="F67" s="117">
        <f>IF($D$76&gt;1,'Simulazione 4.2'!G56+'Simulazione 4.2'!G57-'Simulazione 4.2'!G61,0)</f>
        <v>512.3268613919995</v>
      </c>
      <c r="G67" s="117">
        <f>IF($D$76&gt;1,'Simulazione 4.2'!H56+'Simulazione 4.2'!H57-'Simulazione 4.2'!H61,0)</f>
        <v>489.49048979947156</v>
      </c>
      <c r="H67" s="117">
        <f>IF($D$76&gt;1,'Simulazione 4.2'!I56+'Simulazione 4.2'!I57-'Simulazione 4.2'!I61,0)</f>
        <v>466.79483695447652</v>
      </c>
      <c r="I67" s="117">
        <f>IF($D$76&gt;1,'Simulazione 4.2'!J56+'Simulazione 4.2'!J57-'Simulazione 4.2'!J61,0)</f>
        <v>444.23734021635028</v>
      </c>
      <c r="J67" s="117">
        <f>IF($D$76&gt;1,'Simulazione 4.2'!K56+'Simulazione 4.2'!K57-'Simulazione 4.2'!K61,0)</f>
        <v>421.81543408475636</v>
      </c>
      <c r="K67" s="117">
        <f>IF($D$76&gt;1,'Simulazione 4.2'!L56+'Simulazione 4.2'!L57-'Simulazione 4.2'!L61,0)</f>
        <v>399.52654970695312</v>
      </c>
      <c r="L67" s="117">
        <f>IF($D$76&gt;1,'Simulazione 4.2'!M56+'Simulazione 4.2'!M57-'Simulazione 4.2'!M61,0)</f>
        <v>377.36811437913047</v>
      </c>
      <c r="M67" s="117">
        <f>IF($D$76&gt;1,'Simulazione 4.2'!N56+'Simulazione 4.2'!N57-'Simulazione 4.2'!N61,0)</f>
        <v>355.33755104164834</v>
      </c>
      <c r="N67" s="117">
        <f>IF($D$76&gt;1,'Simulazione 4.2'!O56+'Simulazione 4.2'!O57-'Simulazione 4.2'!O61,0)</f>
        <v>333.43227776804247</v>
      </c>
      <c r="O67" s="117">
        <f>IF($D$76&gt;1,'Simulazione 4.2'!P56+'Simulazione 4.2'!P57-'Simulazione 4.2'!P61,0)</f>
        <v>959.14970724761451</v>
      </c>
      <c r="P67" s="117">
        <f>IF($D$76&gt;1,'Simulazione 4.2'!Q56+'Simulazione 4.2'!Q57-'Simulazione 4.2'!Q61,0)</f>
        <v>1954.9872462614596</v>
      </c>
      <c r="Q67" s="117">
        <f>IF($D$76&gt;1,'Simulazione 4.2'!R56+'Simulazione 4.2'!R57-'Simulazione 4.2'!R61,0)</f>
        <v>1933.4422951517618</v>
      </c>
      <c r="R67" s="117">
        <f>IF($D$76&gt;1,'Simulazione 4.2'!S56+'Simulazione 4.2'!S57-'Simulazione 4.2'!S61,0)</f>
        <v>1912.012247284184</v>
      </c>
      <c r="S67" s="117">
        <f>IF($D$76&gt;1,'Simulazione 4.2'!T56+'Simulazione 4.2'!T57-'Simulazione 4.2'!T61,0)</f>
        <v>1890.6944885031908</v>
      </c>
      <c r="T67" s="117">
        <f>IF($D$76&gt;1,'Simulazione 4.2'!U56+'Simulazione 4.2'!U57-'Simulazione 4.2'!U61,0)</f>
        <v>1869.4863965801176</v>
      </c>
      <c r="U67" s="117">
        <f>IF($D$76&gt;1,'Simulazione 4.2'!V56+'Simulazione 4.2'!V57-'Simulazione 4.2'!V61,0)</f>
        <v>1848.3853406538208</v>
      </c>
      <c r="V67" s="117">
        <f>IF($D$76&gt;1,'Simulazione 4.2'!W56+'Simulazione 4.2'!W57-'Simulazione 4.2'!W61,0)</f>
        <v>1827.3886806637197</v>
      </c>
      <c r="W67" s="117">
        <f>IF($D$76&gt;1,'Simulazione 4.2'!X56+'Simulazione 4.2'!X57-'Simulazione 4.2'!X61,0)</f>
        <v>207.59559208521125</v>
      </c>
    </row>
    <row r="68" spans="3:23">
      <c r="H68" s="71"/>
      <c r="I68" s="71"/>
      <c r="N68" s="71"/>
      <c r="O68" s="71"/>
    </row>
    <row r="70" spans="3:23">
      <c r="C70" s="7">
        <v>1</v>
      </c>
      <c r="D70" s="7" t="s">
        <v>101</v>
      </c>
    </row>
    <row r="71" spans="3:23">
      <c r="C71" s="7">
        <v>2</v>
      </c>
      <c r="D71" s="7" t="s">
        <v>127</v>
      </c>
      <c r="I71" s="71" t="s">
        <v>97</v>
      </c>
      <c r="L71" s="71" t="s">
        <v>144</v>
      </c>
      <c r="N71" s="7" t="s">
        <v>151</v>
      </c>
    </row>
    <row r="72" spans="3:23">
      <c r="C72" s="7">
        <v>3</v>
      </c>
      <c r="D72" s="7" t="s">
        <v>126</v>
      </c>
      <c r="I72" s="7" t="b">
        <f>OR(D76=2,D76=3,D76=4)</f>
        <v>1</v>
      </c>
      <c r="L72" s="7" t="b">
        <f>OR(D76=C70,D76=6)</f>
        <v>0</v>
      </c>
      <c r="M72" s="7">
        <v>1</v>
      </c>
      <c r="N72" s="7" t="b">
        <f>AND('Simulazione 4.2'!$C$3&lt;=50)</f>
        <v>1</v>
      </c>
      <c r="O72" s="7">
        <v>120</v>
      </c>
      <c r="P72" s="7">
        <f>IF(N72=TRUE,O72,0)</f>
        <v>120</v>
      </c>
    </row>
    <row r="73" spans="3:23">
      <c r="C73" s="7">
        <v>4</v>
      </c>
      <c r="D73" s="7" t="s">
        <v>125</v>
      </c>
      <c r="I73" s="71" t="s">
        <v>141</v>
      </c>
      <c r="M73" s="7">
        <v>2</v>
      </c>
      <c r="N73" s="7" t="b">
        <f>AND('Simulazione 4.2'!$C$3&lt;=100,'Simulazione 4.2'!$C$3&gt;50)</f>
        <v>0</v>
      </c>
      <c r="O73" s="7">
        <v>240</v>
      </c>
      <c r="P73" s="7">
        <f>IF(N73=TRUE,O73,0)</f>
        <v>0</v>
      </c>
      <c r="Q73" s="131"/>
    </row>
    <row r="74" spans="3:23">
      <c r="C74" s="7">
        <v>5</v>
      </c>
      <c r="D74" s="7" t="s">
        <v>139</v>
      </c>
      <c r="I74" s="7" t="b">
        <f>OR(D76=3,D76=4,D76=5)</f>
        <v>1</v>
      </c>
      <c r="M74" s="7">
        <v>3</v>
      </c>
      <c r="N74" s="7" t="b">
        <f>AND('Simulazione 4.2'!$C$3&lt;=500,'Simulazione 4.2'!$C$3&gt;100)</f>
        <v>0</v>
      </c>
      <c r="O74" s="7">
        <v>500</v>
      </c>
      <c r="P74" s="7">
        <f>IF(N74=TRUE,O74,0)</f>
        <v>0</v>
      </c>
      <c r="Q74" s="131"/>
    </row>
    <row r="75" spans="3:23">
      <c r="C75" s="7">
        <v>6</v>
      </c>
      <c r="D75" s="7" t="s">
        <v>140</v>
      </c>
      <c r="I75" s="71" t="s">
        <v>142</v>
      </c>
      <c r="M75" s="7">
        <v>4</v>
      </c>
      <c r="N75" s="7" t="b">
        <f>AND('Simulazione 4.2'!$C$3&lt;=1000,'Simulazione 4.2'!$C$3&gt;500)</f>
        <v>0</v>
      </c>
      <c r="O75" s="7">
        <v>1500</v>
      </c>
      <c r="P75" s="7">
        <f>IF(N75=TRUE,O75,0)</f>
        <v>0</v>
      </c>
      <c r="Q75" s="134"/>
    </row>
    <row r="76" spans="3:23">
      <c r="D76" s="104">
        <v>3</v>
      </c>
      <c r="I76" s="7" t="b">
        <f>OR(D76=2,D76=3)</f>
        <v>1</v>
      </c>
      <c r="M76" s="7">
        <v>5</v>
      </c>
      <c r="N76" s="7" t="b">
        <f>AND('Simulazione 4.2'!$C$3&gt;1000)</f>
        <v>0</v>
      </c>
      <c r="O76" s="7">
        <v>2500</v>
      </c>
      <c r="P76" s="7">
        <f>IF(N76=TRUE,O76,0)</f>
        <v>0</v>
      </c>
    </row>
    <row r="77" spans="3:23">
      <c r="I77" s="71" t="s">
        <v>143</v>
      </c>
      <c r="O77" s="7">
        <f>'Simulazione 4.2'!C3-'Simulazione 4.2'!C4</f>
        <v>7</v>
      </c>
      <c r="P77" s="71">
        <f>SUM(P72:P76)</f>
        <v>120</v>
      </c>
    </row>
    <row r="78" spans="3:23">
      <c r="D78" s="7" t="s">
        <v>94</v>
      </c>
      <c r="F78" s="7">
        <f>'Simulazione 4.2'!C3*'Simulazione 4.2'!C37</f>
        <v>18500</v>
      </c>
      <c r="I78" s="7" t="b">
        <f>OR(D76=4,D76=5)</f>
        <v>0</v>
      </c>
    </row>
    <row r="79" spans="3:23">
      <c r="D79" s="7" t="s">
        <v>93</v>
      </c>
      <c r="F79" s="7">
        <f>IF(D76&gt;1,('Simulazione 4.2'!C37*'Simulazione 4.2'!C3)/100*'Simulazione 4.2'!$K$9,0)</f>
        <v>1665</v>
      </c>
    </row>
    <row r="81" spans="3:23">
      <c r="D81" s="117">
        <f>$F$78</f>
        <v>18500</v>
      </c>
      <c r="E81" s="117">
        <f>$F$78</f>
        <v>18500</v>
      </c>
      <c r="F81" s="117">
        <f>$F$78</f>
        <v>18500</v>
      </c>
      <c r="G81" s="117">
        <f t="shared" ref="G81:W81" si="35">$F$78</f>
        <v>18500</v>
      </c>
      <c r="H81" s="117">
        <f t="shared" si="35"/>
        <v>18500</v>
      </c>
      <c r="I81" s="117">
        <f t="shared" si="35"/>
        <v>18500</v>
      </c>
      <c r="J81" s="117">
        <f t="shared" si="35"/>
        <v>18500</v>
      </c>
      <c r="K81" s="117">
        <f t="shared" si="35"/>
        <v>18500</v>
      </c>
      <c r="L81" s="117">
        <f t="shared" si="35"/>
        <v>18500</v>
      </c>
      <c r="M81" s="117">
        <f t="shared" si="35"/>
        <v>18500</v>
      </c>
      <c r="N81" s="117">
        <f t="shared" si="35"/>
        <v>18500</v>
      </c>
      <c r="O81" s="117">
        <f t="shared" si="35"/>
        <v>18500</v>
      </c>
      <c r="P81" s="117">
        <f t="shared" si="35"/>
        <v>18500</v>
      </c>
      <c r="Q81" s="117">
        <f t="shared" si="35"/>
        <v>18500</v>
      </c>
      <c r="R81" s="117">
        <f t="shared" si="35"/>
        <v>18500</v>
      </c>
      <c r="S81" s="117">
        <f t="shared" si="35"/>
        <v>18500</v>
      </c>
      <c r="T81" s="117">
        <f t="shared" si="35"/>
        <v>18500</v>
      </c>
      <c r="U81" s="117">
        <f t="shared" si="35"/>
        <v>18500</v>
      </c>
      <c r="V81" s="117">
        <f t="shared" si="35"/>
        <v>18500</v>
      </c>
      <c r="W81" s="117">
        <f t="shared" si="35"/>
        <v>18500</v>
      </c>
    </row>
    <row r="82" spans="3:23">
      <c r="C82" s="117"/>
      <c r="D82" s="117">
        <f>$F$78/100*'Simulazione 4.2'!$K$9/2</f>
        <v>832.5</v>
      </c>
      <c r="E82" s="117">
        <f>D82+$F$79</f>
        <v>2497.5</v>
      </c>
      <c r="F82" s="117">
        <f t="shared" ref="F82:W82" si="36">E82+$F$79</f>
        <v>4162.5</v>
      </c>
      <c r="G82" s="117">
        <f t="shared" si="36"/>
        <v>5827.5</v>
      </c>
      <c r="H82" s="117">
        <f t="shared" si="36"/>
        <v>7492.5</v>
      </c>
      <c r="I82" s="117">
        <f t="shared" si="36"/>
        <v>9157.5</v>
      </c>
      <c r="J82" s="117">
        <f t="shared" si="36"/>
        <v>10822.5</v>
      </c>
      <c r="K82" s="117">
        <f t="shared" si="36"/>
        <v>12487.5</v>
      </c>
      <c r="L82" s="117">
        <f t="shared" si="36"/>
        <v>14152.5</v>
      </c>
      <c r="M82" s="117">
        <f t="shared" si="36"/>
        <v>15817.5</v>
      </c>
      <c r="N82" s="117">
        <f t="shared" si="36"/>
        <v>17482.5</v>
      </c>
      <c r="O82" s="117">
        <f t="shared" si="36"/>
        <v>19147.5</v>
      </c>
      <c r="P82" s="117">
        <f t="shared" si="36"/>
        <v>20812.5</v>
      </c>
      <c r="Q82" s="117">
        <f t="shared" si="36"/>
        <v>22477.5</v>
      </c>
      <c r="R82" s="117">
        <f t="shared" si="36"/>
        <v>24142.5</v>
      </c>
      <c r="S82" s="117">
        <f t="shared" si="36"/>
        <v>25807.5</v>
      </c>
      <c r="T82" s="117">
        <f t="shared" si="36"/>
        <v>27472.5</v>
      </c>
      <c r="U82" s="117">
        <f t="shared" si="36"/>
        <v>29137.5</v>
      </c>
      <c r="V82" s="117">
        <f t="shared" si="36"/>
        <v>30802.5</v>
      </c>
      <c r="W82" s="117">
        <f t="shared" si="36"/>
        <v>32467.5</v>
      </c>
    </row>
    <row r="83" spans="3:23"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</row>
    <row r="84" spans="3:23"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8"/>
      <c r="R84" s="117"/>
      <c r="S84" s="117"/>
      <c r="T84" s="117"/>
      <c r="U84" s="117"/>
      <c r="V84" s="117"/>
      <c r="W84" s="117"/>
    </row>
    <row r="85" spans="3:23">
      <c r="D85" s="117">
        <f>IF(D82&lt;D81,1,0)</f>
        <v>1</v>
      </c>
      <c r="E85" s="117">
        <f t="shared" ref="E85:W85" si="37">IF(E82&lt;E81,1,0)</f>
        <v>1</v>
      </c>
      <c r="F85" s="117">
        <f t="shared" si="37"/>
        <v>1</v>
      </c>
      <c r="G85" s="117">
        <f t="shared" si="37"/>
        <v>1</v>
      </c>
      <c r="H85" s="117">
        <f t="shared" si="37"/>
        <v>1</v>
      </c>
      <c r="I85" s="117">
        <f t="shared" si="37"/>
        <v>1</v>
      </c>
      <c r="J85" s="117">
        <f t="shared" si="37"/>
        <v>1</v>
      </c>
      <c r="K85" s="117">
        <f t="shared" si="37"/>
        <v>1</v>
      </c>
      <c r="L85" s="117">
        <f t="shared" si="37"/>
        <v>1</v>
      </c>
      <c r="M85" s="117">
        <f t="shared" si="37"/>
        <v>1</v>
      </c>
      <c r="N85" s="117">
        <f t="shared" si="37"/>
        <v>1</v>
      </c>
      <c r="O85" s="117">
        <f t="shared" si="37"/>
        <v>0</v>
      </c>
      <c r="P85" s="117">
        <f t="shared" si="37"/>
        <v>0</v>
      </c>
      <c r="Q85" s="117">
        <f t="shared" si="37"/>
        <v>0</v>
      </c>
      <c r="R85" s="117">
        <f t="shared" si="37"/>
        <v>0</v>
      </c>
      <c r="S85" s="117">
        <f t="shared" si="37"/>
        <v>0</v>
      </c>
      <c r="T85" s="117">
        <f t="shared" si="37"/>
        <v>0</v>
      </c>
      <c r="U85" s="117">
        <f t="shared" si="37"/>
        <v>0</v>
      </c>
      <c r="V85" s="117">
        <f t="shared" si="37"/>
        <v>0</v>
      </c>
      <c r="W85" s="117">
        <f t="shared" si="37"/>
        <v>0</v>
      </c>
    </row>
    <row r="86" spans="3:23">
      <c r="D86" s="117">
        <f>IF('Calcoli Titolo II'!$D$76&gt;1,'Calcoli Titolo II'!$F$79/2,0)</f>
        <v>832.5</v>
      </c>
      <c r="E86" s="117">
        <f>IF('Calcoli Titolo II'!$D$76&gt;1,'Calcoli Titolo II'!$F$79,0)</f>
        <v>1665</v>
      </c>
      <c r="F86" s="117">
        <f>IF('Calcoli Titolo II'!$D$76&gt;1,'Calcoli Titolo II'!$F$79,0)</f>
        <v>1665</v>
      </c>
      <c r="G86" s="117">
        <f>IF('Calcoli Titolo II'!$D$76&gt;1,'Calcoli Titolo II'!$F$79,0)</f>
        <v>1665</v>
      </c>
      <c r="H86" s="117">
        <f>IF('Calcoli Titolo II'!$D$76&gt;1,'Calcoli Titolo II'!$F$79,0)</f>
        <v>1665</v>
      </c>
      <c r="I86" s="117">
        <f>IF('Calcoli Titolo II'!$D$76&gt;1,'Calcoli Titolo II'!$F$79,0)</f>
        <v>1665</v>
      </c>
      <c r="J86" s="117">
        <f>IF('Calcoli Titolo II'!$D$76&gt;1,'Calcoli Titolo II'!$F$79,0)</f>
        <v>1665</v>
      </c>
      <c r="K86" s="117">
        <f>IF('Calcoli Titolo II'!$D$76&gt;1,'Calcoli Titolo II'!$F$79,0)</f>
        <v>1665</v>
      </c>
      <c r="L86" s="117">
        <f>IF('Calcoli Titolo II'!$D$76&gt;1,'Calcoli Titolo II'!$F$79,0)</f>
        <v>1665</v>
      </c>
      <c r="M86" s="117">
        <f>IF('Calcoli Titolo II'!$D$76&gt;1,'Calcoli Titolo II'!$F$79,0)</f>
        <v>1665</v>
      </c>
      <c r="N86" s="117">
        <f>IF('Calcoli Titolo II'!$D$76&gt;1,'Calcoli Titolo II'!$F$79,0)</f>
        <v>1665</v>
      </c>
      <c r="O86" s="117">
        <f>IF('Calcoli Titolo II'!$D$76&gt;1,'Calcoli Titolo II'!$F$79,0)</f>
        <v>1665</v>
      </c>
      <c r="P86" s="117">
        <f>IF('Calcoli Titolo II'!$D$76&gt;1,'Calcoli Titolo II'!$F$79,0)</f>
        <v>1665</v>
      </c>
      <c r="Q86" s="117">
        <f>IF('Calcoli Titolo II'!$D$76&gt;1,'Calcoli Titolo II'!$F$79,0)</f>
        <v>1665</v>
      </c>
      <c r="R86" s="117">
        <f>IF('Calcoli Titolo II'!$D$76&gt;1,'Calcoli Titolo II'!$F$79,0)</f>
        <v>1665</v>
      </c>
      <c r="S86" s="117">
        <f>IF('Calcoli Titolo II'!$D$76&gt;1,'Calcoli Titolo II'!$F$79,0)</f>
        <v>1665</v>
      </c>
      <c r="T86" s="117">
        <f>IF('Calcoli Titolo II'!$D$76&gt;1,'Calcoli Titolo II'!$F$79,0)</f>
        <v>1665</v>
      </c>
      <c r="U86" s="117">
        <f>IF('Calcoli Titolo II'!$D$76&gt;1,'Calcoli Titolo II'!$F$79,0)</f>
        <v>1665</v>
      </c>
      <c r="V86" s="117">
        <f>IF('Calcoli Titolo II'!$D$76&gt;1,'Calcoli Titolo II'!$F$79,0)</f>
        <v>1665</v>
      </c>
      <c r="W86" s="117">
        <f>IF('Calcoli Titolo II'!$D$76&gt;1,'Calcoli Titolo II'!$F$79,0)</f>
        <v>1665</v>
      </c>
    </row>
    <row r="87" spans="3:23" ht="10.5" customHeight="1"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8"/>
      <c r="R87" s="117"/>
      <c r="S87" s="117"/>
      <c r="T87" s="117"/>
      <c r="U87" s="117"/>
      <c r="V87" s="117"/>
      <c r="W87" s="117"/>
    </row>
    <row r="88" spans="3:23">
      <c r="D88" s="117">
        <f>IF(D85=1,D86,0)</f>
        <v>832.5</v>
      </c>
      <c r="E88" s="117">
        <f>IF(E85=1,E86,$F$78-(D88))</f>
        <v>1665</v>
      </c>
      <c r="F88" s="117">
        <f>IF(F85=1,F86,$F$78-(E88+D88))</f>
        <v>1665</v>
      </c>
      <c r="G88" s="117">
        <f>IF(G85=1,G86,$F$78-(F88+E88+D88))</f>
        <v>1665</v>
      </c>
      <c r="H88" s="117">
        <f>IF(H85=1,H86,$F$78-(G88+F88+E88+D88))</f>
        <v>1665</v>
      </c>
      <c r="I88" s="117">
        <f>IF(I85=1,I86,$F$78-(H88+G88+F88+E88+D88))</f>
        <v>1665</v>
      </c>
      <c r="J88" s="117">
        <f>IF(J85=1,J86,$F$78-(I88+H88+G88+F88+E88+D88))</f>
        <v>1665</v>
      </c>
      <c r="K88" s="117">
        <f>IF(K85=1,K86,$F$78-(J88+I88+H88+G88+F88+E88+D88))</f>
        <v>1665</v>
      </c>
      <c r="L88" s="117">
        <f>IF(L85=1,L86,$F$78-(K88+J88+I88+H88+G88+F88+E88+D88))</f>
        <v>1665</v>
      </c>
      <c r="M88" s="117">
        <f>IF(M85=1,M86,$F$78-(L88+K88+J88+I88+H88+G88+F88+E88+D88))</f>
        <v>1665</v>
      </c>
      <c r="N88" s="117">
        <f>IF(N85=1,N86,$F$78-(M88+L88+K88+J88+I88+H88+G88+F88+E88+D88))</f>
        <v>1665</v>
      </c>
      <c r="O88" s="117">
        <f>IF(O85=1,O86,$F$78-(N88+M88+L88+K88+J88+I88+H88+G88+F88+E88+D88))</f>
        <v>1017.5</v>
      </c>
      <c r="P88" s="117">
        <f>IF(P85=1,P86,$F$78-(O88+N88+M88+L88+K88+J88+I88+H88+G88+F88+E88+D88))</f>
        <v>0</v>
      </c>
      <c r="Q88" s="117">
        <f>IF(Q85=1,Q86,$F$78-(P88+O88+N88+M88+L88+K88+J88+I88+H88+G88+F88+E88+D88))</f>
        <v>0</v>
      </c>
      <c r="R88" s="117">
        <f>IF(R85=1,R86,$F$78-(Q88+P88+O88+N88+M88+L88+K88+J88+I88+H88+G88+F88+E88+D88))</f>
        <v>0</v>
      </c>
      <c r="S88" s="117">
        <f>IF(S85=1,S86,$F$78-(R88+Q88+P88+O88+N88+M88+L88+K88+J88+I88+H88+G88+F88+E88+D88))</f>
        <v>0</v>
      </c>
      <c r="T88" s="117">
        <f>IF(T85=1,T86,$F$78-(S88+R88+Q88+P88+O88+N88+M88+L88+K88+J88+I88+H88+G88+F88+E88+D88))</f>
        <v>0</v>
      </c>
      <c r="U88" s="117">
        <f>IF(U85=1,U86,$F$78-(T88+S88+R88+Q88+P88+O88+N88+M88+L88+K88+J88+I88+H88+G88+F88+E88+D88))</f>
        <v>0</v>
      </c>
      <c r="V88" s="117">
        <f>IF(V85=1,V86,$F$78-(U88+T88+S88+R88+Q88+P88+O88+N88+M88+L88+K88+J88+I88+H88+G88+F88+E88+D88))</f>
        <v>0</v>
      </c>
      <c r="W88" s="117">
        <f>IF(W85=1,W86,$F$78-(V88+U88+T88+S88+R88+Q88+P88+O88+N88+M88+L88+K88+J88+I88+H88+G88+F88+E88+D88))</f>
        <v>0</v>
      </c>
    </row>
    <row r="90" spans="3:23">
      <c r="N90" s="117"/>
      <c r="O90" s="117"/>
    </row>
    <row r="91" spans="3:23">
      <c r="F91" s="117"/>
    </row>
    <row r="92" spans="3:23">
      <c r="D92" s="117">
        <f>'Simulazione 4.2'!E62</f>
        <v>1390.9319999999998</v>
      </c>
      <c r="E92" s="117">
        <f>'Simulazione 4.2'!F62</f>
        <v>535.30651199999966</v>
      </c>
      <c r="F92" s="117">
        <f>'Simulazione 4.2'!G62</f>
        <v>512.3268613919995</v>
      </c>
      <c r="G92" s="117">
        <f>'Simulazione 4.2'!H62</f>
        <v>489.49048979947156</v>
      </c>
      <c r="H92" s="117">
        <f>'Simulazione 4.2'!I62</f>
        <v>466.79483695447652</v>
      </c>
      <c r="I92" s="117">
        <f>'Simulazione 4.2'!J62</f>
        <v>444.23734021635028</v>
      </c>
      <c r="J92" s="117">
        <f>'Simulazione 4.2'!K62</f>
        <v>421.81543408475636</v>
      </c>
      <c r="K92" s="117">
        <f>'Simulazione 4.2'!L62</f>
        <v>399.52654970695312</v>
      </c>
      <c r="L92" s="117">
        <f>'Simulazione 4.2'!M62</f>
        <v>377.36811437913047</v>
      </c>
      <c r="M92" s="117">
        <f>'Simulazione 4.2'!N62</f>
        <v>355.33755104164834</v>
      </c>
      <c r="N92" s="117">
        <f>'Simulazione 4.2'!O62</f>
        <v>333.43227776804247</v>
      </c>
      <c r="O92" s="117">
        <f>'Simulazione 4.2'!P62</f>
        <v>959.14970724761451</v>
      </c>
      <c r="P92" s="117">
        <f>'Simulazione 4.2'!Q62</f>
        <v>1954.9872462614596</v>
      </c>
      <c r="Q92" s="117">
        <f>'Simulazione 4.2'!R62</f>
        <v>1933.4422951517618</v>
      </c>
      <c r="R92" s="117">
        <f>'Simulazione 4.2'!S62</f>
        <v>1912.012247284184</v>
      </c>
      <c r="S92" s="117">
        <f>'Simulazione 4.2'!T62</f>
        <v>1890.6944885031908</v>
      </c>
      <c r="T92" s="117">
        <f>'Simulazione 4.2'!U62</f>
        <v>1869.4863965801176</v>
      </c>
      <c r="U92" s="117">
        <f>'Simulazione 4.2'!V62</f>
        <v>1848.3853406538208</v>
      </c>
      <c r="V92" s="117">
        <f>'Simulazione 4.2'!W62</f>
        <v>1827.3886806637197</v>
      </c>
      <c r="W92" s="117">
        <f>'Simulazione 4.2'!X62</f>
        <v>207.59559208521125</v>
      </c>
    </row>
    <row r="93" spans="3:23"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3:23">
      <c r="C94" s="7" t="s">
        <v>116</v>
      </c>
      <c r="D94" s="118" t="b">
        <f>AND(D92&lt;15000)</f>
        <v>1</v>
      </c>
      <c r="E94" s="118" t="b">
        <f t="shared" ref="E94:W94" si="38">AND(E92&lt;15000)</f>
        <v>1</v>
      </c>
      <c r="F94" s="118" t="b">
        <f t="shared" si="38"/>
        <v>1</v>
      </c>
      <c r="G94" s="118" t="b">
        <f t="shared" si="38"/>
        <v>1</v>
      </c>
      <c r="H94" s="118" t="b">
        <f t="shared" si="38"/>
        <v>1</v>
      </c>
      <c r="I94" s="118" t="b">
        <f t="shared" si="38"/>
        <v>1</v>
      </c>
      <c r="J94" s="118" t="b">
        <f t="shared" si="38"/>
        <v>1</v>
      </c>
      <c r="K94" s="118" t="b">
        <f t="shared" si="38"/>
        <v>1</v>
      </c>
      <c r="L94" s="118" t="b">
        <f t="shared" si="38"/>
        <v>1</v>
      </c>
      <c r="M94" s="118" t="b">
        <f t="shared" si="38"/>
        <v>1</v>
      </c>
      <c r="N94" s="118" t="b">
        <f t="shared" si="38"/>
        <v>1</v>
      </c>
      <c r="O94" s="118" t="b">
        <f t="shared" si="38"/>
        <v>1</v>
      </c>
      <c r="P94" s="118" t="b">
        <f t="shared" si="38"/>
        <v>1</v>
      </c>
      <c r="Q94" s="118" t="b">
        <f t="shared" si="38"/>
        <v>1</v>
      </c>
      <c r="R94" s="118" t="b">
        <f t="shared" si="38"/>
        <v>1</v>
      </c>
      <c r="S94" s="118" t="b">
        <f t="shared" si="38"/>
        <v>1</v>
      </c>
      <c r="T94" s="118" t="b">
        <f t="shared" si="38"/>
        <v>1</v>
      </c>
      <c r="U94" s="118" t="b">
        <f t="shared" si="38"/>
        <v>1</v>
      </c>
      <c r="V94" s="118" t="b">
        <f t="shared" si="38"/>
        <v>1</v>
      </c>
      <c r="W94" s="118" t="b">
        <f t="shared" si="38"/>
        <v>1</v>
      </c>
    </row>
    <row r="95" spans="3:23">
      <c r="C95" s="117"/>
      <c r="D95" s="118">
        <f>IF(D94=TRUE,D92/100*'Simulazione 4.2'!$L$13,0)</f>
        <v>319.91435999999993</v>
      </c>
      <c r="E95" s="118">
        <f>IF(E94=TRUE,E92/100*'Simulazione 4.2'!$L$13,0)</f>
        <v>123.12049775999992</v>
      </c>
      <c r="F95" s="118">
        <f>IF(F94=TRUE,F92/100*'Simulazione 4.2'!$L$13,0)</f>
        <v>117.8351781201599</v>
      </c>
      <c r="G95" s="118">
        <f>IF(G94=TRUE,G92/100*'Simulazione 4.2'!$L$13,0)</f>
        <v>112.58281265387845</v>
      </c>
      <c r="H95" s="118">
        <f>IF(H94=TRUE,H92/100*'Simulazione 4.2'!$L$13,0)</f>
        <v>107.36281249952961</v>
      </c>
      <c r="I95" s="118">
        <f>IF(I94=TRUE,I92/100*'Simulazione 4.2'!$L$13,0)</f>
        <v>102.17458824976056</v>
      </c>
      <c r="J95" s="118">
        <f>IF(J94=TRUE,J92/100*'Simulazione 4.2'!$L$13,0)</f>
        <v>97.017549839493967</v>
      </c>
      <c r="K95" s="118">
        <f>IF(K94=TRUE,K92/100*'Simulazione 4.2'!$L$13,0)</f>
        <v>91.891106432599216</v>
      </c>
      <c r="L95" s="118">
        <f>IF(L94=TRUE,L92/100*'Simulazione 4.2'!$L$13,0)</f>
        <v>86.794666307200018</v>
      </c>
      <c r="M95" s="118">
        <f>IF(M94=TRUE,M92/100*'Simulazione 4.2'!$L$13,0)</f>
        <v>81.727636739579111</v>
      </c>
      <c r="N95" s="118">
        <f>IF(N94=TRUE,N92/100*'Simulazione 4.2'!$L$13,0)</f>
        <v>76.689423886649763</v>
      </c>
      <c r="O95" s="118">
        <f>IF(O94=TRUE,O92/100*'Simulazione 4.2'!$L$13,0)</f>
        <v>220.60443266695131</v>
      </c>
      <c r="P95" s="118">
        <f>IF(P94=TRUE,P92/100*'Simulazione 4.2'!$L$13,0)</f>
        <v>449.64706664013573</v>
      </c>
      <c r="Q95" s="118">
        <f>IF(Q94=TRUE,Q92/100*'Simulazione 4.2'!$L$13,0)</f>
        <v>444.69172788490516</v>
      </c>
      <c r="R95" s="118">
        <f>IF(R94=TRUE,R92/100*'Simulazione 4.2'!$L$13,0)</f>
        <v>439.76281687536232</v>
      </c>
      <c r="S95" s="118">
        <f>IF(S94=TRUE,S92/100*'Simulazione 4.2'!$L$13,0)</f>
        <v>434.85973235573391</v>
      </c>
      <c r="T95" s="118">
        <f>IF(T94=TRUE,T92/100*'Simulazione 4.2'!$L$13,0)</f>
        <v>429.98187121342704</v>
      </c>
      <c r="U95" s="118">
        <f>IF(U94=TRUE,U92/100*'Simulazione 4.2'!$L$13,0)</f>
        <v>425.12862835037879</v>
      </c>
      <c r="V95" s="118">
        <f>IF(V94=TRUE,V92/100*'Simulazione 4.2'!$L$13,0)</f>
        <v>420.29939655265554</v>
      </c>
      <c r="W95" s="118">
        <f>IF(W94=TRUE,W92/100*'Simulazione 4.2'!$L$13,0)</f>
        <v>47.746986179598586</v>
      </c>
    </row>
    <row r="96" spans="3:23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</row>
    <row r="97" spans="3:23">
      <c r="C97" s="117" t="s">
        <v>115</v>
      </c>
      <c r="D97" s="118" t="b">
        <f>AND(D92&lt;28001,D92&gt;15000)</f>
        <v>0</v>
      </c>
      <c r="E97" s="118" t="b">
        <f t="shared" ref="E97:W97" si="39">AND(E92&lt;28001,E92&gt;15000)</f>
        <v>0</v>
      </c>
      <c r="F97" s="118" t="b">
        <f t="shared" si="39"/>
        <v>0</v>
      </c>
      <c r="G97" s="118" t="b">
        <f t="shared" si="39"/>
        <v>0</v>
      </c>
      <c r="H97" s="118" t="b">
        <f t="shared" si="39"/>
        <v>0</v>
      </c>
      <c r="I97" s="118" t="b">
        <f t="shared" si="39"/>
        <v>0</v>
      </c>
      <c r="J97" s="118" t="b">
        <f t="shared" si="39"/>
        <v>0</v>
      </c>
      <c r="K97" s="118" t="b">
        <f t="shared" si="39"/>
        <v>0</v>
      </c>
      <c r="L97" s="118" t="b">
        <f t="shared" si="39"/>
        <v>0</v>
      </c>
      <c r="M97" s="118" t="b">
        <f t="shared" si="39"/>
        <v>0</v>
      </c>
      <c r="N97" s="118" t="b">
        <f t="shared" si="39"/>
        <v>0</v>
      </c>
      <c r="O97" s="118" t="b">
        <f t="shared" si="39"/>
        <v>0</v>
      </c>
      <c r="P97" s="118" t="b">
        <f t="shared" si="39"/>
        <v>0</v>
      </c>
      <c r="Q97" s="118" t="b">
        <f t="shared" si="39"/>
        <v>0</v>
      </c>
      <c r="R97" s="118" t="b">
        <f t="shared" si="39"/>
        <v>0</v>
      </c>
      <c r="S97" s="118" t="b">
        <f t="shared" si="39"/>
        <v>0</v>
      </c>
      <c r="T97" s="118" t="b">
        <f t="shared" si="39"/>
        <v>0</v>
      </c>
      <c r="U97" s="118" t="b">
        <f t="shared" si="39"/>
        <v>0</v>
      </c>
      <c r="V97" s="118" t="b">
        <f t="shared" si="39"/>
        <v>0</v>
      </c>
      <c r="W97" s="118" t="b">
        <f t="shared" si="39"/>
        <v>0</v>
      </c>
    </row>
    <row r="98" spans="3:23">
      <c r="C98" s="117"/>
      <c r="D98" s="118">
        <f>IF(D97=TRUE,3450+((D92-15000)/100*'Simulazione 4.2'!$L$14),0)</f>
        <v>0</v>
      </c>
      <c r="E98" s="118">
        <f>IF(E97=TRUE,3450+((E92-15000)/100*'Simulazione 4.2'!$L$14),0)</f>
        <v>0</v>
      </c>
      <c r="F98" s="118">
        <f>IF(F97=TRUE,3450+((F92-15000)/100*'Simulazione 4.2'!$L$14),0)</f>
        <v>0</v>
      </c>
      <c r="G98" s="118">
        <f>IF(G97=TRUE,3450+((G92-15000)/100*'Simulazione 4.2'!$L$14),0)</f>
        <v>0</v>
      </c>
      <c r="H98" s="118">
        <f>IF(H97=TRUE,3450+((H92-15000)/100*'Simulazione 4.2'!$L$14),0)</f>
        <v>0</v>
      </c>
      <c r="I98" s="118">
        <f>IF(I97=TRUE,3450+((I92-15000)/100*'Simulazione 4.2'!$L$14),0)</f>
        <v>0</v>
      </c>
      <c r="J98" s="118">
        <f>IF(J97=TRUE,3450+((J92-15000)/100*'Simulazione 4.2'!$L$14),0)</f>
        <v>0</v>
      </c>
      <c r="K98" s="118">
        <f>IF(K97=TRUE,3450+((K92-15000)/100*'Simulazione 4.2'!$L$14),0)</f>
        <v>0</v>
      </c>
      <c r="L98" s="118">
        <f>IF(L97=TRUE,3450+((L92-15000)/100*'Simulazione 4.2'!$L$14),0)</f>
        <v>0</v>
      </c>
      <c r="M98" s="118">
        <f>IF(M97=TRUE,3450+((M92-15000)/100*'Simulazione 4.2'!$L$14),0)</f>
        <v>0</v>
      </c>
      <c r="N98" s="118">
        <f>IF(N97=TRUE,3450+((N92-15000)/100*'Simulazione 4.2'!$L$14),0)</f>
        <v>0</v>
      </c>
      <c r="O98" s="118">
        <f>IF(O97=TRUE,3450+((O92-15000)/100*'Simulazione 4.2'!$L$14),0)</f>
        <v>0</v>
      </c>
      <c r="P98" s="118">
        <f>IF(P97=TRUE,3450+((P92-15000)/100*'Simulazione 4.2'!$L$14),0)</f>
        <v>0</v>
      </c>
      <c r="Q98" s="118">
        <f>IF(Q97=TRUE,3450+((Q92-15000)/100*'Simulazione 4.2'!$L$14),0)</f>
        <v>0</v>
      </c>
      <c r="R98" s="118">
        <f>IF(R97=TRUE,3450+((R92-15000)/100*'Simulazione 4.2'!$L$14),0)</f>
        <v>0</v>
      </c>
      <c r="S98" s="118">
        <f>IF(S97=TRUE,3450+((S92-15000)/100*'Simulazione 4.2'!$L$14),0)</f>
        <v>0</v>
      </c>
      <c r="T98" s="118">
        <f>IF(T97=TRUE,3450+((T92-15000)/100*'Simulazione 4.2'!$L$14),0)</f>
        <v>0</v>
      </c>
      <c r="U98" s="118">
        <f>IF(U97=TRUE,3450+((U92-15000)/100*'Simulazione 4.2'!$L$14),0)</f>
        <v>0</v>
      </c>
      <c r="V98" s="118">
        <f>IF(V97=TRUE,3450+((V92-15000)/100*'Simulazione 4.2'!$L$14),0)</f>
        <v>0</v>
      </c>
      <c r="W98" s="118">
        <f>IF(W97=TRUE,3450+((W92-15000)/100*'Simulazione 4.2'!$L$14),0)</f>
        <v>0</v>
      </c>
    </row>
    <row r="99" spans="3:23">
      <c r="C99" s="117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</row>
    <row r="100" spans="3:23">
      <c r="C100" s="117" t="s">
        <v>117</v>
      </c>
      <c r="D100" s="118" t="b">
        <f>AND(D92&lt;55001,D92&gt;28000)</f>
        <v>0</v>
      </c>
      <c r="E100" s="118" t="b">
        <f t="shared" ref="E100:W100" si="40">AND(E92&lt;55001,E92&gt;28000)</f>
        <v>0</v>
      </c>
      <c r="F100" s="118" t="b">
        <f t="shared" si="40"/>
        <v>0</v>
      </c>
      <c r="G100" s="118" t="b">
        <f t="shared" si="40"/>
        <v>0</v>
      </c>
      <c r="H100" s="118" t="b">
        <f t="shared" si="40"/>
        <v>0</v>
      </c>
      <c r="I100" s="118" t="b">
        <f t="shared" si="40"/>
        <v>0</v>
      </c>
      <c r="J100" s="118" t="b">
        <f t="shared" si="40"/>
        <v>0</v>
      </c>
      <c r="K100" s="118" t="b">
        <f t="shared" si="40"/>
        <v>0</v>
      </c>
      <c r="L100" s="118" t="b">
        <f t="shared" si="40"/>
        <v>0</v>
      </c>
      <c r="M100" s="118" t="b">
        <f t="shared" si="40"/>
        <v>0</v>
      </c>
      <c r="N100" s="118" t="b">
        <f t="shared" si="40"/>
        <v>0</v>
      </c>
      <c r="O100" s="118" t="b">
        <f t="shared" si="40"/>
        <v>0</v>
      </c>
      <c r="P100" s="118" t="b">
        <f t="shared" si="40"/>
        <v>0</v>
      </c>
      <c r="Q100" s="118" t="b">
        <f t="shared" si="40"/>
        <v>0</v>
      </c>
      <c r="R100" s="118" t="b">
        <f t="shared" si="40"/>
        <v>0</v>
      </c>
      <c r="S100" s="118" t="b">
        <f t="shared" si="40"/>
        <v>0</v>
      </c>
      <c r="T100" s="118" t="b">
        <f t="shared" si="40"/>
        <v>0</v>
      </c>
      <c r="U100" s="118" t="b">
        <f t="shared" si="40"/>
        <v>0</v>
      </c>
      <c r="V100" s="118" t="b">
        <f t="shared" si="40"/>
        <v>0</v>
      </c>
      <c r="W100" s="118" t="b">
        <f t="shared" si="40"/>
        <v>0</v>
      </c>
    </row>
    <row r="101" spans="3:23">
      <c r="C101" s="117"/>
      <c r="D101" s="118">
        <f>IF(D100=TRUE,6960+((D92-28000)/100*'Simulazione 4.2'!$L$15),0)</f>
        <v>0</v>
      </c>
      <c r="E101" s="118">
        <f>IF(E100=TRUE,6960+((E92-28000)/100*'Simulazione 4.2'!$L$15),0)</f>
        <v>0</v>
      </c>
      <c r="F101" s="118">
        <f>IF(F100=TRUE,6960+((F92-28000)/100*'Simulazione 4.2'!$L$15),0)</f>
        <v>0</v>
      </c>
      <c r="G101" s="118">
        <f>IF(G100=TRUE,6960+((G92-28000)/100*'Simulazione 4.2'!$L$15),0)</f>
        <v>0</v>
      </c>
      <c r="H101" s="118">
        <f>IF(H100=TRUE,6960+((H92-28000)/100*'Simulazione 4.2'!$L$15),0)</f>
        <v>0</v>
      </c>
      <c r="I101" s="118">
        <f>IF(I100=TRUE,6960+((I92-28000)/100*'Simulazione 4.2'!$L$15),0)</f>
        <v>0</v>
      </c>
      <c r="J101" s="118">
        <f>IF(J100=TRUE,6960+((J92-28000)/100*'Simulazione 4.2'!$L$15),0)</f>
        <v>0</v>
      </c>
      <c r="K101" s="118">
        <f>IF(K100=TRUE,6960+((K92-28000)/100*'Simulazione 4.2'!$L$15),0)</f>
        <v>0</v>
      </c>
      <c r="L101" s="118">
        <f>IF(L100=TRUE,6960+((L92-28000)/100*'Simulazione 4.2'!$L$15),0)</f>
        <v>0</v>
      </c>
      <c r="M101" s="118">
        <f>IF(M100=TRUE,6960+((M92-28000)/100*'Simulazione 4.2'!$L$15),0)</f>
        <v>0</v>
      </c>
      <c r="N101" s="118">
        <f>IF(N100=TRUE,6960+((N92-28000)/100*'Simulazione 4.2'!$L$15),0)</f>
        <v>0</v>
      </c>
      <c r="O101" s="118">
        <f>IF(O100=TRUE,6960+((O92-28000)/100*'Simulazione 4.2'!$L$15),0)</f>
        <v>0</v>
      </c>
      <c r="P101" s="118">
        <f>IF(P100=TRUE,6960+((P92-28000)/100*'Simulazione 4.2'!$L$15),0)</f>
        <v>0</v>
      </c>
      <c r="Q101" s="118">
        <f>IF(Q100=TRUE,6960+((Q92-28000)/100*'Simulazione 4.2'!$L$15),0)</f>
        <v>0</v>
      </c>
      <c r="R101" s="118">
        <f>IF(R100=TRUE,6960+((R92-28000)/100*'Simulazione 4.2'!$L$15),0)</f>
        <v>0</v>
      </c>
      <c r="S101" s="118">
        <f>IF(S100=TRUE,6960+((S92-28000)/100*'Simulazione 4.2'!$L$15),0)</f>
        <v>0</v>
      </c>
      <c r="T101" s="118">
        <f>IF(T100=TRUE,6960+((T92-28000)/100*'Simulazione 4.2'!$L$15),0)</f>
        <v>0</v>
      </c>
      <c r="U101" s="118">
        <f>IF(U100=TRUE,6960+((U92-28000)/100*'Simulazione 4.2'!$L$15),0)</f>
        <v>0</v>
      </c>
      <c r="V101" s="118">
        <f>IF(V100=TRUE,6960+((V92-28000)/100*'Simulazione 4.2'!$L$15),0)</f>
        <v>0</v>
      </c>
      <c r="W101" s="118">
        <f>IF(W100=TRUE,6960+((W92-28000)/100*'Simulazione 4.2'!$L$15),0)</f>
        <v>0</v>
      </c>
    </row>
    <row r="102" spans="3:23"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</row>
    <row r="103" spans="3:23">
      <c r="C103" s="117" t="s">
        <v>118</v>
      </c>
      <c r="D103" s="118" t="b">
        <f>AND(D92&lt;75001,D92&gt;55000)</f>
        <v>0</v>
      </c>
      <c r="E103" s="118" t="b">
        <f t="shared" ref="E103:W103" si="41">AND(E92&lt;75001,E92&gt;55000)</f>
        <v>0</v>
      </c>
      <c r="F103" s="118" t="b">
        <f t="shared" si="41"/>
        <v>0</v>
      </c>
      <c r="G103" s="118" t="b">
        <f t="shared" si="41"/>
        <v>0</v>
      </c>
      <c r="H103" s="118" t="b">
        <f t="shared" si="41"/>
        <v>0</v>
      </c>
      <c r="I103" s="118" t="b">
        <f t="shared" si="41"/>
        <v>0</v>
      </c>
      <c r="J103" s="118" t="b">
        <f t="shared" si="41"/>
        <v>0</v>
      </c>
      <c r="K103" s="118" t="b">
        <f t="shared" si="41"/>
        <v>0</v>
      </c>
      <c r="L103" s="118" t="b">
        <f t="shared" si="41"/>
        <v>0</v>
      </c>
      <c r="M103" s="118" t="b">
        <f t="shared" si="41"/>
        <v>0</v>
      </c>
      <c r="N103" s="118" t="b">
        <f t="shared" si="41"/>
        <v>0</v>
      </c>
      <c r="O103" s="118" t="b">
        <f t="shared" si="41"/>
        <v>0</v>
      </c>
      <c r="P103" s="118" t="b">
        <f t="shared" si="41"/>
        <v>0</v>
      </c>
      <c r="Q103" s="118" t="b">
        <f t="shared" si="41"/>
        <v>0</v>
      </c>
      <c r="R103" s="118" t="b">
        <f t="shared" si="41"/>
        <v>0</v>
      </c>
      <c r="S103" s="118" t="b">
        <f t="shared" si="41"/>
        <v>0</v>
      </c>
      <c r="T103" s="118" t="b">
        <f t="shared" si="41"/>
        <v>0</v>
      </c>
      <c r="U103" s="118" t="b">
        <f t="shared" si="41"/>
        <v>0</v>
      </c>
      <c r="V103" s="118" t="b">
        <f t="shared" si="41"/>
        <v>0</v>
      </c>
      <c r="W103" s="118" t="b">
        <f t="shared" si="41"/>
        <v>0</v>
      </c>
    </row>
    <row r="104" spans="3:23">
      <c r="D104" s="118">
        <f>IF(D103=TRUE,17220+((D92-55000)/100*'Simulazione 4.2'!$L$16),0)</f>
        <v>0</v>
      </c>
      <c r="E104" s="118">
        <f>IF(E103=TRUE,17220+((E92-55000)/100*'Simulazione 4.2'!$L$16),0)</f>
        <v>0</v>
      </c>
      <c r="F104" s="118">
        <f>IF(F103=TRUE,17220+((F92-55000)/100*'Simulazione 4.2'!$L$16),0)</f>
        <v>0</v>
      </c>
      <c r="G104" s="118">
        <f>IF(G103=TRUE,17220+((G92-55000)/100*'Simulazione 4.2'!$L$16),0)</f>
        <v>0</v>
      </c>
      <c r="H104" s="118">
        <f>IF(H103=TRUE,17220+((H92-55000)/100*'Simulazione 4.2'!$L$16),0)</f>
        <v>0</v>
      </c>
      <c r="I104" s="118">
        <f>IF(I103=TRUE,17220+((I92-55000)/100*'Simulazione 4.2'!$L$16),0)</f>
        <v>0</v>
      </c>
      <c r="J104" s="118">
        <f>IF(J103=TRUE,17220+((J92-55000)/100*'Simulazione 4.2'!$L$16),0)</f>
        <v>0</v>
      </c>
      <c r="K104" s="118">
        <f>IF(K103=TRUE,17220+((K92-55000)/100*'Simulazione 4.2'!$L$16),0)</f>
        <v>0</v>
      </c>
      <c r="L104" s="118">
        <f>IF(L103=TRUE,17220+((L92-55000)/100*'Simulazione 4.2'!$L$16),0)</f>
        <v>0</v>
      </c>
      <c r="M104" s="118">
        <f>IF(M103=TRUE,17220+((M92-55000)/100*'Simulazione 4.2'!$L$16),0)</f>
        <v>0</v>
      </c>
      <c r="N104" s="118">
        <f>IF(N103=TRUE,17220+((N92-55000)/100*'Simulazione 4.2'!$L$16),0)</f>
        <v>0</v>
      </c>
      <c r="O104" s="118">
        <f>IF(O103=TRUE,17220+((O92-55000)/100*'Simulazione 4.2'!$L$16),0)</f>
        <v>0</v>
      </c>
      <c r="P104" s="118">
        <f>IF(P103=TRUE,17220+((P92-55000)/100*'Simulazione 4.2'!$L$16),0)</f>
        <v>0</v>
      </c>
      <c r="Q104" s="118">
        <f>IF(Q103=TRUE,17220+((Q92-55000)/100*'Simulazione 4.2'!$L$16),0)</f>
        <v>0</v>
      </c>
      <c r="R104" s="118">
        <f>IF(R103=TRUE,17220+((R92-55000)/100*'Simulazione 4.2'!$L$16),0)</f>
        <v>0</v>
      </c>
      <c r="S104" s="118">
        <f>IF(S103=TRUE,17220+((S92-55000)/100*'Simulazione 4.2'!$L$16),0)</f>
        <v>0</v>
      </c>
      <c r="T104" s="118">
        <f>IF(T103=TRUE,17220+((T92-55000)/100*'Simulazione 4.2'!$L$16),0)</f>
        <v>0</v>
      </c>
      <c r="U104" s="118">
        <f>IF(U103=TRUE,17220+((U92-55000)/100*'Simulazione 4.2'!$L$16),0)</f>
        <v>0</v>
      </c>
      <c r="V104" s="118">
        <f>IF(V103=TRUE,17220+((V92-55000)/100*'Simulazione 4.2'!$L$16),0)</f>
        <v>0</v>
      </c>
      <c r="W104" s="118">
        <f>IF(W103=TRUE,17220+((W92-55000)/100*'Simulazione 4.2'!$L$16),0)</f>
        <v>0</v>
      </c>
    </row>
    <row r="105" spans="3:23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</row>
    <row r="106" spans="3:23">
      <c r="C106" s="117" t="s">
        <v>119</v>
      </c>
      <c r="D106" s="118" t="b">
        <f>AND(D92&gt;75000)</f>
        <v>0</v>
      </c>
      <c r="E106" s="118" t="b">
        <f t="shared" ref="E106:W106" si="42">AND(E92&gt;75000)</f>
        <v>0</v>
      </c>
      <c r="F106" s="118" t="b">
        <f t="shared" si="42"/>
        <v>0</v>
      </c>
      <c r="G106" s="118" t="b">
        <f t="shared" si="42"/>
        <v>0</v>
      </c>
      <c r="H106" s="118" t="b">
        <f t="shared" si="42"/>
        <v>0</v>
      </c>
      <c r="I106" s="118" t="b">
        <f t="shared" si="42"/>
        <v>0</v>
      </c>
      <c r="J106" s="118" t="b">
        <f t="shared" si="42"/>
        <v>0</v>
      </c>
      <c r="K106" s="118" t="b">
        <f t="shared" si="42"/>
        <v>0</v>
      </c>
      <c r="L106" s="118" t="b">
        <f t="shared" si="42"/>
        <v>0</v>
      </c>
      <c r="M106" s="118" t="b">
        <f t="shared" si="42"/>
        <v>0</v>
      </c>
      <c r="N106" s="118" t="b">
        <f t="shared" si="42"/>
        <v>0</v>
      </c>
      <c r="O106" s="118" t="b">
        <f t="shared" si="42"/>
        <v>0</v>
      </c>
      <c r="P106" s="118" t="b">
        <f t="shared" si="42"/>
        <v>0</v>
      </c>
      <c r="Q106" s="118" t="b">
        <f t="shared" si="42"/>
        <v>0</v>
      </c>
      <c r="R106" s="118" t="b">
        <f t="shared" si="42"/>
        <v>0</v>
      </c>
      <c r="S106" s="118" t="b">
        <f t="shared" si="42"/>
        <v>0</v>
      </c>
      <c r="T106" s="118" t="b">
        <f t="shared" si="42"/>
        <v>0</v>
      </c>
      <c r="U106" s="118" t="b">
        <f t="shared" si="42"/>
        <v>0</v>
      </c>
      <c r="V106" s="118" t="b">
        <f t="shared" si="42"/>
        <v>0</v>
      </c>
      <c r="W106" s="118" t="b">
        <f t="shared" si="42"/>
        <v>0</v>
      </c>
    </row>
    <row r="107" spans="3:23">
      <c r="D107" s="118">
        <f>IF(D106=TRUE,25420+((D92-75000)/100*'Simulazione 4.2'!$L$17),0)</f>
        <v>0</v>
      </c>
      <c r="E107" s="118">
        <f>IF(E106=TRUE,25420+((E92-75000)/100*'Simulazione 4.2'!$L$17),0)</f>
        <v>0</v>
      </c>
      <c r="F107" s="118">
        <f>IF(F106=TRUE,25420+((F92-75000)/100*'Simulazione 4.2'!$L$17),0)</f>
        <v>0</v>
      </c>
      <c r="G107" s="118">
        <f>IF(G106=TRUE,25420+((G92-75000)/100*'Simulazione 4.2'!$L$17),0)</f>
        <v>0</v>
      </c>
      <c r="H107" s="118">
        <f>IF(H106=TRUE,25420+((H92-75000)/100*'Simulazione 4.2'!$L$17),0)</f>
        <v>0</v>
      </c>
      <c r="I107" s="118">
        <f>IF(I106=TRUE,25420+((I92-75000)/100*'Simulazione 4.2'!$L$17),0)</f>
        <v>0</v>
      </c>
      <c r="J107" s="118">
        <f>IF(J106=TRUE,25420+((J92-75000)/100*'Simulazione 4.2'!$L$17),0)</f>
        <v>0</v>
      </c>
      <c r="K107" s="118">
        <f>IF(K106=TRUE,25420+((K92-75000)/100*'Simulazione 4.2'!$L$17),0)</f>
        <v>0</v>
      </c>
      <c r="L107" s="118">
        <f>IF(L106=TRUE,25420+((L92-75000)/100*'Simulazione 4.2'!$L$17),0)</f>
        <v>0</v>
      </c>
      <c r="M107" s="118">
        <f>IF(M106=TRUE,25420+((M92-75000)/100*'Simulazione 4.2'!$L$17),0)</f>
        <v>0</v>
      </c>
      <c r="N107" s="118">
        <f>IF(N106=TRUE,25420+((N92-75000)/100*'Simulazione 4.2'!$L$17),0)</f>
        <v>0</v>
      </c>
      <c r="O107" s="118">
        <f>IF(O106=TRUE,25420+((O92-75000)/100*'Simulazione 4.2'!$L$17),0)</f>
        <v>0</v>
      </c>
      <c r="P107" s="118">
        <f>IF(P106=TRUE,25420+((P92-75000)/100*'Simulazione 4.2'!$L$17),0)</f>
        <v>0</v>
      </c>
      <c r="Q107" s="118">
        <f>IF(Q106=TRUE,25420+((Q92-75000)/100*'Simulazione 4.2'!$L$17),0)</f>
        <v>0</v>
      </c>
      <c r="R107" s="118">
        <f>IF(R106=TRUE,25420+((R92-75000)/100*'Simulazione 4.2'!$L$17),0)</f>
        <v>0</v>
      </c>
      <c r="S107" s="118">
        <f>IF(S106=TRUE,25420+((S92-75000)/100*'Simulazione 4.2'!$L$17),0)</f>
        <v>0</v>
      </c>
      <c r="T107" s="118">
        <f>IF(T106=TRUE,25420+((T92-75000)/100*'Simulazione 4.2'!$L$17),0)</f>
        <v>0</v>
      </c>
      <c r="U107" s="118">
        <f>IF(U106=TRUE,25420+((U92-75000)/100*'Simulazione 4.2'!$L$17),0)</f>
        <v>0</v>
      </c>
      <c r="V107" s="118">
        <f>IF(V106=TRUE,25420+((V92-75000)/100*'Simulazione 4.2'!$L$17),0)</f>
        <v>0</v>
      </c>
      <c r="W107" s="118">
        <f>IF(W106=TRUE,25420+((W92-75000)/100*'Simulazione 4.2'!$L$17),0)</f>
        <v>0</v>
      </c>
    </row>
    <row r="108" spans="3:23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</row>
    <row r="109" spans="3:23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</row>
    <row r="110" spans="3:23">
      <c r="D110" s="118">
        <f>D95+D98+D101+D104+D107</f>
        <v>319.91435999999993</v>
      </c>
      <c r="E110" s="118">
        <f t="shared" ref="E110:W110" si="43">E95+E98+E101+E104+E107</f>
        <v>123.12049775999992</v>
      </c>
      <c r="F110" s="118">
        <f t="shared" si="43"/>
        <v>117.8351781201599</v>
      </c>
      <c r="G110" s="118">
        <f t="shared" si="43"/>
        <v>112.58281265387845</v>
      </c>
      <c r="H110" s="118">
        <f t="shared" si="43"/>
        <v>107.36281249952961</v>
      </c>
      <c r="I110" s="118">
        <f t="shared" si="43"/>
        <v>102.17458824976056</v>
      </c>
      <c r="J110" s="118">
        <f t="shared" si="43"/>
        <v>97.017549839493967</v>
      </c>
      <c r="K110" s="118">
        <f t="shared" si="43"/>
        <v>91.891106432599216</v>
      </c>
      <c r="L110" s="118">
        <f t="shared" si="43"/>
        <v>86.794666307200018</v>
      </c>
      <c r="M110" s="118">
        <f t="shared" si="43"/>
        <v>81.727636739579111</v>
      </c>
      <c r="N110" s="118">
        <f t="shared" si="43"/>
        <v>76.689423886649763</v>
      </c>
      <c r="O110" s="118">
        <f t="shared" si="43"/>
        <v>220.60443266695131</v>
      </c>
      <c r="P110" s="118">
        <f t="shared" si="43"/>
        <v>449.64706664013573</v>
      </c>
      <c r="Q110" s="118">
        <f t="shared" si="43"/>
        <v>444.69172788490516</v>
      </c>
      <c r="R110" s="118">
        <f t="shared" si="43"/>
        <v>439.76281687536232</v>
      </c>
      <c r="S110" s="118">
        <f t="shared" si="43"/>
        <v>434.85973235573391</v>
      </c>
      <c r="T110" s="118">
        <f t="shared" si="43"/>
        <v>429.98187121342704</v>
      </c>
      <c r="U110" s="118">
        <f t="shared" si="43"/>
        <v>425.12862835037879</v>
      </c>
      <c r="V110" s="118">
        <f t="shared" si="43"/>
        <v>420.29939655265554</v>
      </c>
      <c r="W110" s="118">
        <f t="shared" si="43"/>
        <v>47.746986179598586</v>
      </c>
    </row>
    <row r="111" spans="3:23"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</row>
    <row r="114" spans="3:22">
      <c r="C114" s="118">
        <f>'Simulazione 4.2'!E75</f>
        <v>-17366.728707999999</v>
      </c>
      <c r="D114" s="118">
        <f>'Simulazione 4.2'!F75</f>
        <v>-15373.149647728</v>
      </c>
      <c r="E114" s="118">
        <f>'Simulazione 4.2'!G75</f>
        <v>-13391.503312050447</v>
      </c>
      <c r="F114" s="118">
        <f>'Simulazione 4.2'!H75</f>
        <v>-11421.587656007034</v>
      </c>
      <c r="G114" s="118">
        <f>'Simulazione 4.2'!I75</f>
        <v>-9463.2005600333105</v>
      </c>
      <c r="H114" s="118">
        <f>'Simulazione 4.2'!J75</f>
        <v>-7516.1397927719581</v>
      </c>
      <c r="I114" s="118">
        <f>'Simulazione 4.2'!K75</f>
        <v>-5580.2029734615371</v>
      </c>
      <c r="J114" s="118">
        <f>'Simulazione 4.2'!L75</f>
        <v>-3655.187533891401</v>
      </c>
      <c r="K114" s="118">
        <f>'Simulazione 4.2'!M75</f>
        <v>-1740.8906799112162</v>
      </c>
      <c r="L114" s="118">
        <f>'Simulazione 4.2'!N75</f>
        <v>162.89064751664966</v>
      </c>
      <c r="M114" s="118">
        <f>'Simulazione 4.2'!O75</f>
        <v>2056.3598117338383</v>
      </c>
      <c r="N114" s="118">
        <f>'Simulazione 4.2'!P75</f>
        <v>3765.5430202839689</v>
      </c>
      <c r="O114" s="118">
        <f>'Simulazione 4.2'!Q75</f>
        <v>5191.1143653042627</v>
      </c>
      <c r="P114" s="118">
        <f>'Simulazione 4.2'!R75</f>
        <v>6606.9858644234309</v>
      </c>
      <c r="Q114" s="118">
        <f>'Simulazione 4.2'!S75</f>
        <v>8013.3625021786638</v>
      </c>
      <c r="R114" s="118">
        <f>'Simulazione 4.2'!T75</f>
        <v>9410.4497719648007</v>
      </c>
      <c r="S114" s="118">
        <f>'Simulazione 4.2'!U75</f>
        <v>10798.453718528977</v>
      </c>
      <c r="T114" s="118">
        <f>'Simulazione 4.2'!V75</f>
        <v>12177.580981024314</v>
      </c>
      <c r="U114" s="118">
        <f>'Simulazione 4.2'!W75</f>
        <v>13548.038836636435</v>
      </c>
      <c r="V114" s="118">
        <f>'Simulazione 4.2'!X75</f>
        <v>13741.240679098604</v>
      </c>
    </row>
    <row r="117" spans="3:22">
      <c r="C117" s="7" t="s">
        <v>95</v>
      </c>
      <c r="D117" s="7" t="b">
        <f>AND(D76&gt;1,D76&lt;4)</f>
        <v>1</v>
      </c>
    </row>
    <row r="119" spans="3:22">
      <c r="D119" s="162" t="s">
        <v>136</v>
      </c>
      <c r="E119" s="162"/>
      <c r="F119" s="162"/>
    </row>
    <row r="120" spans="3:22" ht="15.75" thickBot="1"/>
    <row r="121" spans="3:22">
      <c r="D121" s="24"/>
      <c r="E121" s="16"/>
      <c r="F121" s="155" t="s">
        <v>4</v>
      </c>
      <c r="G121" s="156"/>
      <c r="H121" s="134"/>
      <c r="I121" s="134"/>
      <c r="J121" s="135"/>
      <c r="K121" s="16"/>
      <c r="L121" s="155" t="s">
        <v>5</v>
      </c>
      <c r="M121" s="156"/>
      <c r="N121" s="3"/>
      <c r="O121" s="3"/>
    </row>
    <row r="122" spans="3:22">
      <c r="D122" s="23"/>
      <c r="E122" s="3"/>
      <c r="F122" s="6" t="s">
        <v>2</v>
      </c>
      <c r="G122" s="27" t="s">
        <v>3</v>
      </c>
      <c r="H122" s="134"/>
      <c r="I122" s="134"/>
      <c r="J122" s="136"/>
      <c r="K122" s="3"/>
      <c r="L122" s="6" t="s">
        <v>2</v>
      </c>
      <c r="M122" s="27" t="s">
        <v>3</v>
      </c>
      <c r="N122" s="28"/>
      <c r="O122" s="28"/>
    </row>
    <row r="123" spans="3:22">
      <c r="D123" s="23" t="b">
        <f>AND($D$1=1,$D$7=1,'Simulazione 4.2'!$C$3&lt;=3,'Simulazione 4.2'!$C$3&gt;=1)</f>
        <v>0</v>
      </c>
      <c r="E123" s="29" t="s">
        <v>6</v>
      </c>
      <c r="F123" s="6">
        <v>208</v>
      </c>
      <c r="G123" s="27">
        <f t="shared" ref="G123:G128" si="44">F123-82</f>
        <v>126</v>
      </c>
      <c r="H123" s="134">
        <f t="shared" ref="H123:H128" si="45">IF(D123=TRUE,(F123+L123)/2,0)</f>
        <v>0</v>
      </c>
      <c r="I123" s="134">
        <f t="shared" ref="I123:I128" si="46">IF(D123=TRUE,(G123+M123)/2,0)</f>
        <v>0</v>
      </c>
      <c r="J123" s="23"/>
      <c r="K123" s="29" t="s">
        <v>6</v>
      </c>
      <c r="L123" s="6">
        <v>201</v>
      </c>
      <c r="M123" s="27">
        <f t="shared" ref="M123:M128" si="47">L123-82</f>
        <v>119</v>
      </c>
      <c r="N123" s="6"/>
      <c r="O123" s="6"/>
    </row>
    <row r="124" spans="3:22">
      <c r="D124" s="23" t="b">
        <f>AND($D$1=1,$D$7=1,'Simulazione 4.2'!$C$3&lt;=20,'Simulazione 4.2'!$C$3&gt;3)</f>
        <v>1</v>
      </c>
      <c r="E124" s="29" t="s">
        <v>7</v>
      </c>
      <c r="F124" s="6">
        <v>196</v>
      </c>
      <c r="G124" s="27">
        <f t="shared" si="44"/>
        <v>114</v>
      </c>
      <c r="H124" s="134">
        <f t="shared" si="45"/>
        <v>192.5</v>
      </c>
      <c r="I124" s="134">
        <f t="shared" si="46"/>
        <v>110.5</v>
      </c>
      <c r="J124" s="23"/>
      <c r="K124" s="29" t="s">
        <v>7</v>
      </c>
      <c r="L124" s="6">
        <v>189</v>
      </c>
      <c r="M124" s="27">
        <f t="shared" si="47"/>
        <v>107</v>
      </c>
      <c r="N124" s="6"/>
      <c r="O124" s="6"/>
    </row>
    <row r="125" spans="3:22">
      <c r="D125" s="23" t="b">
        <f>AND($D$1=1,$D$7=1,'Simulazione 4.2'!$C$3&lt;=200,'Simulazione 4.2'!$C$3&gt;20)</f>
        <v>0</v>
      </c>
      <c r="E125" s="29" t="s">
        <v>8</v>
      </c>
      <c r="F125" s="6">
        <v>175</v>
      </c>
      <c r="G125" s="27">
        <f t="shared" si="44"/>
        <v>93</v>
      </c>
      <c r="H125" s="134">
        <f t="shared" si="45"/>
        <v>0</v>
      </c>
      <c r="I125" s="134">
        <f t="shared" si="46"/>
        <v>0</v>
      </c>
      <c r="J125" s="23"/>
      <c r="K125" s="29" t="s">
        <v>8</v>
      </c>
      <c r="L125" s="6">
        <v>168</v>
      </c>
      <c r="M125" s="27">
        <f t="shared" si="47"/>
        <v>86</v>
      </c>
      <c r="N125" s="6"/>
      <c r="O125" s="6"/>
    </row>
    <row r="126" spans="3:22">
      <c r="D126" s="23" t="b">
        <f>AND($D$1=1,$D$7=1,'Simulazione 4.2'!$C$3&lt;=1000,'Simulazione 4.2'!$C$3&gt;200)</f>
        <v>0</v>
      </c>
      <c r="E126" s="29" t="s">
        <v>9</v>
      </c>
      <c r="F126" s="6">
        <v>142</v>
      </c>
      <c r="G126" s="27">
        <f t="shared" si="44"/>
        <v>60</v>
      </c>
      <c r="H126" s="134">
        <f t="shared" si="45"/>
        <v>0</v>
      </c>
      <c r="I126" s="134">
        <f t="shared" si="46"/>
        <v>0</v>
      </c>
      <c r="J126" s="23"/>
      <c r="K126" s="29" t="s">
        <v>9</v>
      </c>
      <c r="L126" s="6">
        <v>135</v>
      </c>
      <c r="M126" s="27">
        <f t="shared" si="47"/>
        <v>53</v>
      </c>
      <c r="N126" s="6"/>
      <c r="O126" s="6"/>
    </row>
    <row r="127" spans="3:22">
      <c r="D127" s="23" t="b">
        <f>AND($D$1=1,$D$7=1,'Simulazione 4.2'!$C$3&lt;=5000,'Simulazione 4.2'!$C$3&gt;1000)</f>
        <v>0</v>
      </c>
      <c r="E127" s="29" t="s">
        <v>10</v>
      </c>
      <c r="F127" s="6">
        <v>126</v>
      </c>
      <c r="G127" s="27">
        <f t="shared" si="44"/>
        <v>44</v>
      </c>
      <c r="H127" s="134">
        <f t="shared" si="45"/>
        <v>0</v>
      </c>
      <c r="I127" s="134">
        <f t="shared" si="46"/>
        <v>0</v>
      </c>
      <c r="J127" s="23"/>
      <c r="K127" s="29" t="s">
        <v>10</v>
      </c>
      <c r="L127" s="6">
        <v>120</v>
      </c>
      <c r="M127" s="27">
        <f t="shared" si="47"/>
        <v>38</v>
      </c>
      <c r="N127" s="6"/>
      <c r="O127" s="6"/>
    </row>
    <row r="128" spans="3:22" ht="15.75" thickBot="1">
      <c r="D128" s="30" t="b">
        <f>AND($D$1=1,$D$7=1,'Simulazione 4.2'!$C$3&gt;=5000)</f>
        <v>0</v>
      </c>
      <c r="E128" s="36" t="s">
        <v>11</v>
      </c>
      <c r="F128" s="37">
        <v>119</v>
      </c>
      <c r="G128" s="38">
        <f t="shared" si="44"/>
        <v>37</v>
      </c>
      <c r="H128" s="134">
        <f t="shared" si="45"/>
        <v>0</v>
      </c>
      <c r="I128" s="134">
        <f t="shared" si="46"/>
        <v>0</v>
      </c>
      <c r="J128" s="30"/>
      <c r="K128" s="36" t="s">
        <v>11</v>
      </c>
      <c r="L128" s="37">
        <v>113</v>
      </c>
      <c r="M128" s="38">
        <f t="shared" si="47"/>
        <v>31</v>
      </c>
      <c r="N128" s="6"/>
      <c r="O128" s="6"/>
    </row>
    <row r="129" spans="4:15" ht="15.75" thickBot="1">
      <c r="F129" s="134"/>
      <c r="G129" s="134"/>
      <c r="H129" s="43">
        <f>IF($H$9=3,H123+H124+H125+H126+H127+H128,0)</f>
        <v>0</v>
      </c>
      <c r="I129" s="43">
        <f>IF($H$9=3,I123+I124+I125+I126+I127+I128,0)</f>
        <v>0</v>
      </c>
      <c r="K129" s="134"/>
      <c r="L129" s="134"/>
      <c r="M129" s="134"/>
      <c r="N129" s="6"/>
      <c r="O129" s="6"/>
    </row>
    <row r="130" spans="4:15">
      <c r="F130" s="134"/>
      <c r="G130" s="134"/>
      <c r="H130" s="6"/>
      <c r="I130" s="6"/>
      <c r="K130" s="134"/>
      <c r="L130" s="134"/>
      <c r="M130" s="134"/>
      <c r="N130" s="6"/>
      <c r="O130" s="6"/>
    </row>
    <row r="131" spans="4:15" ht="15.75" thickBot="1">
      <c r="F131" s="157"/>
      <c r="G131" s="157"/>
      <c r="H131" s="134"/>
      <c r="I131" s="134"/>
      <c r="K131" s="134"/>
      <c r="L131" s="157"/>
      <c r="M131" s="157"/>
      <c r="N131" s="6"/>
      <c r="O131" s="6"/>
    </row>
    <row r="132" spans="4:15" ht="15.75">
      <c r="D132" s="93"/>
      <c r="E132" s="94"/>
      <c r="F132" s="95" t="s">
        <v>2</v>
      </c>
      <c r="G132" s="96" t="s">
        <v>3</v>
      </c>
      <c r="H132" s="50"/>
      <c r="I132" s="50"/>
      <c r="J132" s="93"/>
      <c r="K132" s="94"/>
      <c r="L132" s="95" t="s">
        <v>2</v>
      </c>
      <c r="M132" s="96" t="s">
        <v>3</v>
      </c>
      <c r="N132" s="48"/>
      <c r="O132" s="48"/>
    </row>
    <row r="133" spans="4:15" ht="15.75">
      <c r="D133" s="23" t="b">
        <f>AND($D$1=2,$D$7=1,'Simulazione 4.2'!$C$3&lt;=3,'Simulazione 4.2'!$C$3&gt;=1)</f>
        <v>0</v>
      </c>
      <c r="E133" s="29" t="s">
        <v>6</v>
      </c>
      <c r="F133" s="52">
        <v>182</v>
      </c>
      <c r="G133" s="53">
        <f t="shared" ref="G133:G138" si="48">F133-82</f>
        <v>100</v>
      </c>
      <c r="H133" s="134">
        <f t="shared" ref="H133:H138" si="49">IF(D133=TRUE,(F133+L133)/2,0)</f>
        <v>0</v>
      </c>
      <c r="I133" s="134">
        <f t="shared" ref="I133:I138" si="50">IF(D133=TRUE,(G133+M133)/2,0)</f>
        <v>0</v>
      </c>
      <c r="J133" s="23"/>
      <c r="K133" s="29" t="s">
        <v>6</v>
      </c>
      <c r="L133" s="52">
        <v>176</v>
      </c>
      <c r="M133" s="53">
        <f t="shared" ref="M133:M138" si="51">L133-82</f>
        <v>94</v>
      </c>
      <c r="N133" s="6"/>
      <c r="O133" s="6"/>
    </row>
    <row r="134" spans="4:15" ht="15.75">
      <c r="D134" s="23" t="b">
        <f>AND($D$1=2,$D$7=1,'Simulazione 4.2'!$C$3&lt;=20,'Simulazione 4.2'!$C$3&gt;3)</f>
        <v>0</v>
      </c>
      <c r="E134" s="29" t="s">
        <v>7</v>
      </c>
      <c r="F134" s="52">
        <v>171</v>
      </c>
      <c r="G134" s="53">
        <f t="shared" si="48"/>
        <v>89</v>
      </c>
      <c r="H134" s="134">
        <f t="shared" si="49"/>
        <v>0</v>
      </c>
      <c r="I134" s="134">
        <f t="shared" si="50"/>
        <v>0</v>
      </c>
      <c r="J134" s="23"/>
      <c r="K134" s="29" t="s">
        <v>7</v>
      </c>
      <c r="L134" s="52">
        <v>165</v>
      </c>
      <c r="M134" s="53">
        <f t="shared" si="51"/>
        <v>83</v>
      </c>
      <c r="N134" s="6"/>
      <c r="O134" s="6"/>
    </row>
    <row r="135" spans="4:15" ht="15.75">
      <c r="D135" s="23" t="b">
        <f>AND($D$1=2,$D$7=1,'Simulazione 4.2'!$C$3&lt;=200,'Simulazione 4.2'!$C$3&gt;20)</f>
        <v>0</v>
      </c>
      <c r="E135" s="29" t="s">
        <v>8</v>
      </c>
      <c r="F135" s="52">
        <v>157</v>
      </c>
      <c r="G135" s="53">
        <f t="shared" si="48"/>
        <v>75</v>
      </c>
      <c r="H135" s="134">
        <f t="shared" si="49"/>
        <v>0</v>
      </c>
      <c r="I135" s="134">
        <f t="shared" si="50"/>
        <v>0</v>
      </c>
      <c r="J135" s="23"/>
      <c r="K135" s="29" t="s">
        <v>8</v>
      </c>
      <c r="L135" s="52">
        <v>151</v>
      </c>
      <c r="M135" s="53">
        <f t="shared" si="51"/>
        <v>69</v>
      </c>
      <c r="N135" s="6"/>
      <c r="O135" s="6"/>
    </row>
    <row r="136" spans="4:15" ht="15.75">
      <c r="D136" s="23" t="b">
        <f>AND($D$1=2,$D$7=1,'Simulazione 4.2'!$C$3&lt;=1000,'Simulazione 4.2'!$C$3&gt;200)</f>
        <v>0</v>
      </c>
      <c r="E136" s="29" t="s">
        <v>9</v>
      </c>
      <c r="F136" s="48">
        <v>130</v>
      </c>
      <c r="G136" s="49">
        <f t="shared" si="48"/>
        <v>48</v>
      </c>
      <c r="H136" s="134">
        <f t="shared" si="49"/>
        <v>0</v>
      </c>
      <c r="I136" s="134">
        <f t="shared" si="50"/>
        <v>0</v>
      </c>
      <c r="J136" s="23"/>
      <c r="K136" s="29" t="s">
        <v>9</v>
      </c>
      <c r="L136" s="48">
        <v>124</v>
      </c>
      <c r="M136" s="49">
        <f t="shared" si="51"/>
        <v>42</v>
      </c>
      <c r="N136" s="6"/>
      <c r="O136" s="6"/>
    </row>
    <row r="137" spans="4:15" ht="15.75">
      <c r="D137" s="23" t="b">
        <f>AND($D$1=2,$D$7=1,'Simulazione 4.2'!$C$3&lt;=5000,'Simulazione 4.2'!$C$3&gt;1000)</f>
        <v>0</v>
      </c>
      <c r="E137" s="29" t="s">
        <v>10</v>
      </c>
      <c r="F137" s="52">
        <v>118</v>
      </c>
      <c r="G137" s="53">
        <f t="shared" si="48"/>
        <v>36</v>
      </c>
      <c r="H137" s="134">
        <f t="shared" si="49"/>
        <v>0</v>
      </c>
      <c r="I137" s="134">
        <f t="shared" si="50"/>
        <v>0</v>
      </c>
      <c r="J137" s="23"/>
      <c r="K137" s="29" t="s">
        <v>10</v>
      </c>
      <c r="L137" s="52">
        <v>113</v>
      </c>
      <c r="M137" s="53">
        <f t="shared" si="51"/>
        <v>31</v>
      </c>
      <c r="N137" s="6"/>
      <c r="O137" s="6"/>
    </row>
    <row r="138" spans="4:15" ht="16.5" thickBot="1">
      <c r="D138" s="30" t="b">
        <f>AND($D$1=2,$D$7=1,'Simulazione 4.2'!$C$3&gt;=5000)</f>
        <v>0</v>
      </c>
      <c r="E138" s="36" t="s">
        <v>11</v>
      </c>
      <c r="F138" s="58">
        <v>112</v>
      </c>
      <c r="G138" s="59">
        <f t="shared" si="48"/>
        <v>30</v>
      </c>
      <c r="H138" s="134">
        <f t="shared" si="49"/>
        <v>0</v>
      </c>
      <c r="I138" s="134">
        <f t="shared" si="50"/>
        <v>0</v>
      </c>
      <c r="J138" s="30"/>
      <c r="K138" s="36" t="s">
        <v>11</v>
      </c>
      <c r="L138" s="58">
        <v>106</v>
      </c>
      <c r="M138" s="59">
        <f t="shared" si="51"/>
        <v>24</v>
      </c>
      <c r="N138" s="6"/>
      <c r="O138" s="6"/>
    </row>
    <row r="139" spans="4:15" ht="16.5" thickBot="1">
      <c r="D139" s="51"/>
      <c r="E139" s="51"/>
      <c r="F139" s="54"/>
      <c r="G139" s="54"/>
      <c r="H139" s="43">
        <f>IF($H$9=3,H133+H134+H135+H136+H137+H138,0)</f>
        <v>0</v>
      </c>
      <c r="I139" s="43">
        <f>IF($H$9=3,I133+I134+I135+I136+I137+I138,0)</f>
        <v>0</v>
      </c>
      <c r="J139" s="51"/>
      <c r="K139" s="54"/>
      <c r="L139" s="54"/>
      <c r="M139" s="54"/>
      <c r="N139" s="52"/>
      <c r="O139" s="52"/>
    </row>
    <row r="140" spans="4:15" ht="15.7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2"/>
      <c r="O140" s="12"/>
    </row>
    <row r="141" spans="4:15" ht="16.5" thickBot="1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2"/>
      <c r="O141" s="12"/>
    </row>
    <row r="142" spans="4:15" ht="15.75">
      <c r="D142" s="93"/>
      <c r="E142" s="94"/>
      <c r="F142" s="95" t="s">
        <v>2</v>
      </c>
      <c r="G142" s="96" t="s">
        <v>3</v>
      </c>
      <c r="H142" s="50"/>
      <c r="I142" s="50"/>
      <c r="J142" s="93"/>
      <c r="K142" s="94"/>
      <c r="L142" s="95" t="s">
        <v>2</v>
      </c>
      <c r="M142" s="96" t="s">
        <v>3</v>
      </c>
      <c r="N142" s="48"/>
      <c r="O142" s="48"/>
    </row>
    <row r="143" spans="4:15" ht="15.75">
      <c r="D143" s="23" t="b">
        <f>AND($D$1=3,$D$7=1,'Simulazione 4.2'!$C$3&lt;=3,'Simulazione 4.2'!$C$3&gt;=1)</f>
        <v>0</v>
      </c>
      <c r="E143" s="29" t="s">
        <v>6</v>
      </c>
      <c r="F143" s="52">
        <v>157</v>
      </c>
      <c r="G143" s="53">
        <f t="shared" ref="G143:G148" si="52">F143-82</f>
        <v>75</v>
      </c>
      <c r="H143" s="134">
        <f t="shared" ref="H143:H148" si="53">IF(D143=TRUE,(F143+L143)/2,0)</f>
        <v>0</v>
      </c>
      <c r="I143" s="134">
        <f t="shared" ref="I143:I148" si="54">IF(D143=TRUE,(G143+M143)/2,0)</f>
        <v>0</v>
      </c>
      <c r="J143" s="23"/>
      <c r="K143" s="29" t="s">
        <v>6</v>
      </c>
      <c r="L143" s="52">
        <v>152</v>
      </c>
      <c r="M143" s="53">
        <f t="shared" ref="M143:M148" si="55">L143-82</f>
        <v>70</v>
      </c>
      <c r="N143" s="6"/>
      <c r="O143" s="6"/>
    </row>
    <row r="144" spans="4:15" ht="15.75">
      <c r="D144" s="23" t="b">
        <f>AND($D$1=3,$D$7=1,'Simulazione 4.2'!$C$3&lt;=20,'Simulazione 4.2'!$C$3&gt;3)</f>
        <v>0</v>
      </c>
      <c r="E144" s="29" t="s">
        <v>7</v>
      </c>
      <c r="F144" s="52">
        <v>149</v>
      </c>
      <c r="G144" s="53">
        <f t="shared" si="52"/>
        <v>67</v>
      </c>
      <c r="H144" s="134">
        <f t="shared" si="53"/>
        <v>0</v>
      </c>
      <c r="I144" s="134">
        <f t="shared" si="54"/>
        <v>0</v>
      </c>
      <c r="J144" s="23"/>
      <c r="K144" s="29" t="s">
        <v>7</v>
      </c>
      <c r="L144" s="52">
        <v>144</v>
      </c>
      <c r="M144" s="53">
        <f t="shared" si="55"/>
        <v>62</v>
      </c>
      <c r="N144" s="6"/>
      <c r="O144" s="6"/>
    </row>
    <row r="145" spans="4:15" ht="15.75">
      <c r="D145" s="23" t="b">
        <f>AND($D$1=3,$D$7=1,'Simulazione 4.2'!$C$3&lt;=200,'Simulazione 4.2'!$C$3&gt;20)</f>
        <v>0</v>
      </c>
      <c r="E145" s="29" t="s">
        <v>8</v>
      </c>
      <c r="F145" s="52">
        <v>141</v>
      </c>
      <c r="G145" s="53">
        <f t="shared" si="52"/>
        <v>59</v>
      </c>
      <c r="H145" s="134">
        <f t="shared" si="53"/>
        <v>0</v>
      </c>
      <c r="I145" s="134">
        <f t="shared" si="54"/>
        <v>0</v>
      </c>
      <c r="J145" s="23"/>
      <c r="K145" s="29" t="s">
        <v>8</v>
      </c>
      <c r="L145" s="52">
        <v>136</v>
      </c>
      <c r="M145" s="53">
        <f t="shared" si="55"/>
        <v>54</v>
      </c>
      <c r="N145" s="6"/>
      <c r="O145" s="6"/>
    </row>
    <row r="146" spans="4:15" ht="15.75">
      <c r="D146" s="23" t="b">
        <f>AND($D$1=3,$D$7=1,'Simulazione 4.2'!$C$3&lt;=1000,'Simulazione 4.2'!$C$3&gt;200)</f>
        <v>0</v>
      </c>
      <c r="E146" s="29" t="s">
        <v>9</v>
      </c>
      <c r="F146" s="48">
        <v>118</v>
      </c>
      <c r="G146" s="49">
        <f t="shared" si="52"/>
        <v>36</v>
      </c>
      <c r="H146" s="134">
        <f t="shared" si="53"/>
        <v>0</v>
      </c>
      <c r="I146" s="134">
        <f t="shared" si="54"/>
        <v>0</v>
      </c>
      <c r="J146" s="23"/>
      <c r="K146" s="29" t="s">
        <v>9</v>
      </c>
      <c r="L146" s="48">
        <v>113</v>
      </c>
      <c r="M146" s="49">
        <f t="shared" si="55"/>
        <v>31</v>
      </c>
      <c r="N146" s="6"/>
      <c r="O146" s="6"/>
    </row>
    <row r="147" spans="4:15" ht="15.75">
      <c r="D147" s="23" t="b">
        <f>AND($D$1=3,$D$7=1,'Simulazione 4.2'!$C$3&lt;=5000,'Simulazione 4.2'!$C$3&gt;1000)</f>
        <v>0</v>
      </c>
      <c r="E147" s="29" t="s">
        <v>10</v>
      </c>
      <c r="F147" s="52">
        <v>110</v>
      </c>
      <c r="G147" s="53">
        <f t="shared" si="52"/>
        <v>28</v>
      </c>
      <c r="H147" s="134">
        <f t="shared" si="53"/>
        <v>0</v>
      </c>
      <c r="I147" s="134">
        <f t="shared" si="54"/>
        <v>0</v>
      </c>
      <c r="J147" s="23"/>
      <c r="K147" s="29" t="s">
        <v>10</v>
      </c>
      <c r="L147" s="52">
        <v>106</v>
      </c>
      <c r="M147" s="53">
        <f t="shared" si="55"/>
        <v>24</v>
      </c>
      <c r="N147" s="6"/>
      <c r="O147" s="6"/>
    </row>
    <row r="148" spans="4:15" ht="16.5" thickBot="1">
      <c r="D148" s="30" t="b">
        <f>AND($D$1=3,$D$7=1,'Simulazione 4.2'!$C$3&gt;=5000)</f>
        <v>0</v>
      </c>
      <c r="E148" s="36" t="s">
        <v>11</v>
      </c>
      <c r="F148" s="58">
        <v>104</v>
      </c>
      <c r="G148" s="59">
        <f t="shared" si="52"/>
        <v>22</v>
      </c>
      <c r="H148" s="134">
        <f t="shared" si="53"/>
        <v>0</v>
      </c>
      <c r="I148" s="134">
        <f t="shared" si="54"/>
        <v>0</v>
      </c>
      <c r="J148" s="30"/>
      <c r="K148" s="36" t="s">
        <v>11</v>
      </c>
      <c r="L148" s="58">
        <v>99</v>
      </c>
      <c r="M148" s="59">
        <f t="shared" si="55"/>
        <v>17</v>
      </c>
      <c r="N148" s="6"/>
      <c r="O148" s="6"/>
    </row>
    <row r="149" spans="4:15" ht="16.5" thickBot="1">
      <c r="D149" s="51"/>
      <c r="E149" s="51"/>
      <c r="F149" s="54"/>
      <c r="G149" s="54"/>
      <c r="H149" s="43">
        <f>IF($H$9=3,H143+H144+H145+H146+H147+H148,0)</f>
        <v>0</v>
      </c>
      <c r="I149" s="43">
        <f>IF($H$9=3,I143+I144+I145+I146+I147+I148,0)</f>
        <v>0</v>
      </c>
      <c r="J149" s="51"/>
      <c r="K149" s="54"/>
      <c r="L149" s="54"/>
      <c r="M149" s="54"/>
      <c r="N149" s="52"/>
      <c r="O149" s="52"/>
    </row>
    <row r="150" spans="4:15">
      <c r="D150" s="3"/>
      <c r="E150" s="3"/>
      <c r="F150" s="6"/>
      <c r="G150" s="6"/>
      <c r="H150" s="6"/>
      <c r="I150" s="6"/>
      <c r="J150" s="3"/>
      <c r="K150" s="6"/>
      <c r="L150" s="6"/>
      <c r="M150" s="6"/>
      <c r="N150" s="6"/>
      <c r="O150" s="6"/>
    </row>
    <row r="151" spans="4:15">
      <c r="N151" s="3"/>
      <c r="O151" s="3"/>
    </row>
    <row r="152" spans="4:15">
      <c r="N152" s="3"/>
      <c r="O152" s="3"/>
    </row>
    <row r="153" spans="4:15" ht="15.75" thickBot="1">
      <c r="N153" s="3"/>
      <c r="O153" s="3"/>
    </row>
    <row r="154" spans="4:15" ht="15.75">
      <c r="D154" s="93"/>
      <c r="E154" s="94"/>
      <c r="F154" s="95" t="s">
        <v>2</v>
      </c>
      <c r="G154" s="96" t="s">
        <v>3</v>
      </c>
      <c r="H154" s="50"/>
      <c r="I154" s="50"/>
      <c r="J154" s="93"/>
      <c r="K154" s="94"/>
      <c r="L154" s="95" t="s">
        <v>2</v>
      </c>
      <c r="M154" s="96" t="s">
        <v>3</v>
      </c>
      <c r="N154" s="48"/>
      <c r="O154" s="48"/>
    </row>
    <row r="155" spans="4:15" ht="15.75">
      <c r="D155" s="23" t="b">
        <f>AND($D$1=4,$D$7=1,'Simulazione 4.2'!$C$3&lt;=3,'Simulazione 4.2'!$C$3&gt;=1)</f>
        <v>0</v>
      </c>
      <c r="E155" s="29" t="s">
        <v>6</v>
      </c>
      <c r="F155" s="52">
        <v>144</v>
      </c>
      <c r="G155" s="53">
        <f t="shared" ref="G155:G160" si="56">F155-82</f>
        <v>62</v>
      </c>
      <c r="H155" s="134">
        <f t="shared" ref="H155:H160" si="57">IF(D155=TRUE,(F155+L155)/2,0)</f>
        <v>0</v>
      </c>
      <c r="I155" s="134">
        <f t="shared" ref="I155:I160" si="58">IF(D155=TRUE,(G155+M155)/2,0)</f>
        <v>0</v>
      </c>
      <c r="J155" s="23"/>
      <c r="K155" s="29" t="s">
        <v>6</v>
      </c>
      <c r="L155" s="52">
        <v>140</v>
      </c>
      <c r="M155" s="53">
        <f t="shared" ref="M155:M160" si="59">L155-82</f>
        <v>58</v>
      </c>
      <c r="N155" s="6"/>
      <c r="O155" s="6"/>
    </row>
    <row r="156" spans="4:15" ht="15.75">
      <c r="D156" s="23" t="b">
        <f>AND($D$1=4,$D$7=1,'Simulazione 4.2'!$C$3&lt;=20,'Simulazione 4.2'!$C$3&gt;3)</f>
        <v>0</v>
      </c>
      <c r="E156" s="29" t="s">
        <v>7</v>
      </c>
      <c r="F156" s="52">
        <v>137</v>
      </c>
      <c r="G156" s="53">
        <f t="shared" si="56"/>
        <v>55</v>
      </c>
      <c r="H156" s="134">
        <f t="shared" si="57"/>
        <v>0</v>
      </c>
      <c r="I156" s="134">
        <f t="shared" si="58"/>
        <v>0</v>
      </c>
      <c r="J156" s="23"/>
      <c r="K156" s="29" t="s">
        <v>7</v>
      </c>
      <c r="L156" s="52">
        <v>133</v>
      </c>
      <c r="M156" s="53">
        <f t="shared" si="59"/>
        <v>51</v>
      </c>
      <c r="N156" s="6"/>
      <c r="O156" s="6"/>
    </row>
    <row r="157" spans="4:15" ht="15.75">
      <c r="D157" s="23" t="b">
        <f>AND($D$1=4,$D$7=1,'Simulazione 4.2'!$C$3&lt;=200,'Simulazione 4.2'!$C$3&gt;20)</f>
        <v>0</v>
      </c>
      <c r="E157" s="29" t="s">
        <v>8</v>
      </c>
      <c r="F157" s="52">
        <v>131</v>
      </c>
      <c r="G157" s="53">
        <f t="shared" si="56"/>
        <v>49</v>
      </c>
      <c r="H157" s="134">
        <f t="shared" si="57"/>
        <v>0</v>
      </c>
      <c r="I157" s="134">
        <f t="shared" si="58"/>
        <v>0</v>
      </c>
      <c r="J157" s="23"/>
      <c r="K157" s="29" t="s">
        <v>8</v>
      </c>
      <c r="L157" s="52">
        <v>126</v>
      </c>
      <c r="M157" s="53">
        <f t="shared" si="59"/>
        <v>44</v>
      </c>
      <c r="N157" s="6"/>
      <c r="O157" s="6"/>
    </row>
    <row r="158" spans="4:15" ht="15.75">
      <c r="D158" s="23" t="b">
        <f>AND($D$1=4,$D$7=1,'Simulazione 4.2'!$C$3&lt;=1000,'Simulazione 4.2'!$C$3&gt;200)</f>
        <v>0</v>
      </c>
      <c r="E158" s="29" t="s">
        <v>9</v>
      </c>
      <c r="F158" s="48">
        <v>111</v>
      </c>
      <c r="G158" s="49">
        <f t="shared" si="56"/>
        <v>29</v>
      </c>
      <c r="H158" s="134">
        <f t="shared" si="57"/>
        <v>0</v>
      </c>
      <c r="I158" s="134">
        <f t="shared" si="58"/>
        <v>0</v>
      </c>
      <c r="J158" s="23"/>
      <c r="K158" s="29" t="s">
        <v>9</v>
      </c>
      <c r="L158" s="48">
        <v>107</v>
      </c>
      <c r="M158" s="49">
        <f t="shared" si="59"/>
        <v>25</v>
      </c>
      <c r="N158" s="6"/>
      <c r="O158" s="6"/>
    </row>
    <row r="159" spans="4:15" ht="15.75">
      <c r="D159" s="23" t="b">
        <f>AND($D$1=4,$D$7=1,'Simulazione 4.2'!$C$3&lt;=5000,'Simulazione 4.2'!$C$3&gt;1000)</f>
        <v>0</v>
      </c>
      <c r="E159" s="29" t="s">
        <v>10</v>
      </c>
      <c r="F159" s="52">
        <v>105</v>
      </c>
      <c r="G159" s="53">
        <f t="shared" si="56"/>
        <v>23</v>
      </c>
      <c r="H159" s="134">
        <f t="shared" si="57"/>
        <v>0</v>
      </c>
      <c r="I159" s="134">
        <f t="shared" si="58"/>
        <v>0</v>
      </c>
      <c r="J159" s="23"/>
      <c r="K159" s="29" t="s">
        <v>10</v>
      </c>
      <c r="L159" s="52">
        <v>101</v>
      </c>
      <c r="M159" s="53">
        <f t="shared" si="59"/>
        <v>19</v>
      </c>
      <c r="N159" s="6"/>
      <c r="O159" s="6"/>
    </row>
    <row r="160" spans="4:15" ht="16.5" thickBot="1">
      <c r="D160" s="30" t="b">
        <f>AND($D$1=4,$D$7=1,'Simulazione 4.2'!$C$3&gt;=5000)</f>
        <v>0</v>
      </c>
      <c r="E160" s="36" t="s">
        <v>11</v>
      </c>
      <c r="F160" s="58">
        <v>99</v>
      </c>
      <c r="G160" s="59">
        <f t="shared" si="56"/>
        <v>17</v>
      </c>
      <c r="H160" s="134">
        <f t="shared" si="57"/>
        <v>0</v>
      </c>
      <c r="I160" s="134">
        <f t="shared" si="58"/>
        <v>0</v>
      </c>
      <c r="J160" s="30"/>
      <c r="K160" s="36" t="s">
        <v>11</v>
      </c>
      <c r="L160" s="58">
        <v>95</v>
      </c>
      <c r="M160" s="59">
        <f t="shared" si="59"/>
        <v>13</v>
      </c>
      <c r="N160" s="6"/>
      <c r="O160" s="6"/>
    </row>
    <row r="161" spans="4:15" ht="16.5" thickBot="1">
      <c r="D161" s="51"/>
      <c r="E161" s="51"/>
      <c r="F161" s="54"/>
      <c r="G161" s="54"/>
      <c r="H161" s="43">
        <f>IF($H$9=3,H155+H156+H157+H158+H159+H160,0)</f>
        <v>0</v>
      </c>
      <c r="I161" s="43">
        <f>IF($H$9=3,I155+I156+I157+I158+I159+I160,0)</f>
        <v>0</v>
      </c>
      <c r="J161" s="51"/>
      <c r="K161" s="54"/>
      <c r="L161" s="54"/>
      <c r="M161" s="54"/>
      <c r="N161" s="52"/>
      <c r="O161" s="52"/>
    </row>
    <row r="162" spans="4:15">
      <c r="D162" s="3"/>
      <c r="E162" s="29"/>
      <c r="F162" s="6"/>
      <c r="G162" s="6"/>
      <c r="H162" s="6"/>
      <c r="I162" s="6"/>
      <c r="J162" s="3"/>
      <c r="K162" s="29"/>
      <c r="L162" s="6"/>
      <c r="M162" s="6"/>
      <c r="N162" s="6"/>
      <c r="O162" s="6"/>
    </row>
    <row r="163" spans="4:15">
      <c r="D163" s="3"/>
      <c r="E163" s="29"/>
      <c r="F163" s="6"/>
      <c r="G163" s="6"/>
      <c r="H163" s="6"/>
      <c r="I163" s="6"/>
      <c r="J163" s="3"/>
      <c r="K163" s="29"/>
      <c r="L163" s="6"/>
      <c r="M163" s="6"/>
      <c r="N163" s="6"/>
      <c r="O163" s="6"/>
    </row>
    <row r="164" spans="4:15">
      <c r="D164" s="3"/>
      <c r="E164" s="3"/>
      <c r="F164" s="6"/>
      <c r="G164" s="6"/>
      <c r="H164" s="6"/>
      <c r="I164" s="6"/>
      <c r="J164" s="3"/>
      <c r="K164" s="6"/>
      <c r="L164" s="6"/>
      <c r="M164" s="6"/>
      <c r="N164" s="6"/>
      <c r="O164" s="6"/>
    </row>
    <row r="165" spans="4:1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>
      <c r="N166" s="3"/>
      <c r="O166" s="3"/>
    </row>
    <row r="167" spans="4:15" ht="15.75" thickBot="1">
      <c r="N167" s="3"/>
      <c r="O167" s="3"/>
    </row>
    <row r="168" spans="4:15" ht="15.75">
      <c r="D168" s="93"/>
      <c r="E168" s="94"/>
      <c r="F168" s="95" t="s">
        <v>2</v>
      </c>
      <c r="G168" s="96" t="s">
        <v>3</v>
      </c>
      <c r="H168" s="50"/>
      <c r="I168" s="50"/>
      <c r="J168" s="93"/>
      <c r="K168" s="94"/>
      <c r="L168" s="95" t="s">
        <v>2</v>
      </c>
      <c r="M168" s="96" t="s">
        <v>3</v>
      </c>
      <c r="N168" s="48"/>
      <c r="O168" s="48"/>
    </row>
    <row r="169" spans="4:15" ht="15.75">
      <c r="D169" s="23" t="b">
        <f>AND($D$1=5,$D$7=1,'Simulazione 4.2'!$C$3&lt;=3,'Simulazione 4.2'!$C$3&gt;=1)</f>
        <v>0</v>
      </c>
      <c r="E169" s="29" t="s">
        <v>6</v>
      </c>
      <c r="F169" s="52">
        <v>133</v>
      </c>
      <c r="G169" s="53">
        <f t="shared" ref="G169:G174" si="60">F169-82</f>
        <v>51</v>
      </c>
      <c r="H169" s="54">
        <f t="shared" ref="H169:H174" si="61">IF(D169=TRUE,F169,0)</f>
        <v>0</v>
      </c>
      <c r="I169" s="134">
        <f t="shared" ref="I169:I174" si="62">IF(D169=TRUE,(G169+M169)/2,0)</f>
        <v>0</v>
      </c>
      <c r="J169" s="23"/>
      <c r="K169" s="29" t="s">
        <v>6</v>
      </c>
      <c r="L169" s="52">
        <v>130</v>
      </c>
      <c r="M169" s="53">
        <f t="shared" ref="M169:M174" si="63">L169-82</f>
        <v>48</v>
      </c>
      <c r="N169" s="6"/>
      <c r="O169" s="6"/>
    </row>
    <row r="170" spans="4:15" ht="15.75">
      <c r="D170" s="23" t="b">
        <f>AND($D$1=5,$D$7=1,'Simulazione 4.2'!$C$3&lt;=20,'Simulazione 4.2'!$C$3&gt;3)</f>
        <v>0</v>
      </c>
      <c r="E170" s="29" t="s">
        <v>7</v>
      </c>
      <c r="F170" s="52">
        <v>128</v>
      </c>
      <c r="G170" s="53">
        <f t="shared" si="60"/>
        <v>46</v>
      </c>
      <c r="H170" s="54">
        <f t="shared" si="61"/>
        <v>0</v>
      </c>
      <c r="I170" s="134">
        <f t="shared" si="62"/>
        <v>0</v>
      </c>
      <c r="J170" s="23"/>
      <c r="K170" s="29" t="s">
        <v>7</v>
      </c>
      <c r="L170" s="52">
        <v>124</v>
      </c>
      <c r="M170" s="53">
        <f t="shared" si="63"/>
        <v>42</v>
      </c>
      <c r="N170" s="6"/>
      <c r="O170" s="6"/>
    </row>
    <row r="171" spans="4:15" ht="15.75">
      <c r="D171" s="23" t="b">
        <f>AND($D$1=5,$D$7=1,'Simulazione 4.2'!$C$3&lt;=200,'Simulazione 4.2'!$C$3&gt;20)</f>
        <v>0</v>
      </c>
      <c r="E171" s="29" t="s">
        <v>8</v>
      </c>
      <c r="F171" s="52">
        <v>122</v>
      </c>
      <c r="G171" s="53">
        <f t="shared" si="60"/>
        <v>40</v>
      </c>
      <c r="H171" s="54">
        <f t="shared" si="61"/>
        <v>0</v>
      </c>
      <c r="I171" s="134">
        <f t="shared" si="62"/>
        <v>0</v>
      </c>
      <c r="J171" s="23"/>
      <c r="K171" s="29" t="s">
        <v>8</v>
      </c>
      <c r="L171" s="52">
        <v>118</v>
      </c>
      <c r="M171" s="53">
        <f t="shared" si="63"/>
        <v>36</v>
      </c>
      <c r="N171" s="6"/>
      <c r="O171" s="6"/>
    </row>
    <row r="172" spans="4:15" ht="15.75">
      <c r="D172" s="23" t="b">
        <f>AND($D$1=5,$D$7=1,'Simulazione 4.2'!$C$3&lt;=1000,'Simulazione 4.2'!$C$3&gt;200)</f>
        <v>0</v>
      </c>
      <c r="E172" s="29" t="s">
        <v>9</v>
      </c>
      <c r="F172" s="48">
        <v>106</v>
      </c>
      <c r="G172" s="49">
        <f t="shared" si="60"/>
        <v>24</v>
      </c>
      <c r="H172" s="50">
        <f t="shared" si="61"/>
        <v>0</v>
      </c>
      <c r="I172" s="134">
        <f t="shared" si="62"/>
        <v>0</v>
      </c>
      <c r="J172" s="23"/>
      <c r="K172" s="29" t="s">
        <v>9</v>
      </c>
      <c r="L172" s="48">
        <v>102</v>
      </c>
      <c r="M172" s="49">
        <f t="shared" si="63"/>
        <v>20</v>
      </c>
      <c r="N172" s="6"/>
      <c r="O172" s="6"/>
    </row>
    <row r="173" spans="4:15" ht="15.75">
      <c r="D173" s="23" t="b">
        <f>AND($D$1=5,$D$7=1,'Simulazione 4.2'!$C$3&lt;=5000,'Simulazione 4.2'!$C$3&gt;1000)</f>
        <v>0</v>
      </c>
      <c r="E173" s="29" t="s">
        <v>10</v>
      </c>
      <c r="F173" s="52">
        <v>100</v>
      </c>
      <c r="G173" s="53">
        <f t="shared" si="60"/>
        <v>18</v>
      </c>
      <c r="H173" s="54">
        <f t="shared" si="61"/>
        <v>0</v>
      </c>
      <c r="I173" s="134">
        <f t="shared" si="62"/>
        <v>0</v>
      </c>
      <c r="J173" s="23"/>
      <c r="K173" s="29" t="s">
        <v>10</v>
      </c>
      <c r="L173" s="52">
        <v>97</v>
      </c>
      <c r="M173" s="53">
        <f t="shared" si="63"/>
        <v>15</v>
      </c>
      <c r="N173" s="6"/>
      <c r="O173" s="6"/>
    </row>
    <row r="174" spans="4:15" ht="16.5" thickBot="1">
      <c r="D174" s="30" t="b">
        <f>AND($D$1=5,$D$7=1,'Simulazione 4.2'!$C$3&gt;=5000)</f>
        <v>0</v>
      </c>
      <c r="E174" s="36" t="s">
        <v>11</v>
      </c>
      <c r="F174" s="58">
        <v>95</v>
      </c>
      <c r="G174" s="59">
        <f t="shared" si="60"/>
        <v>13</v>
      </c>
      <c r="H174" s="54">
        <f t="shared" si="61"/>
        <v>0</v>
      </c>
      <c r="I174" s="134">
        <f t="shared" si="62"/>
        <v>0</v>
      </c>
      <c r="J174" s="30"/>
      <c r="K174" s="36" t="s">
        <v>11</v>
      </c>
      <c r="L174" s="58">
        <v>92</v>
      </c>
      <c r="M174" s="59">
        <f t="shared" si="63"/>
        <v>10</v>
      </c>
      <c r="N174" s="6"/>
      <c r="O174" s="6"/>
    </row>
    <row r="175" spans="4:15" ht="16.5" thickBot="1">
      <c r="D175" s="51"/>
      <c r="E175" s="51"/>
      <c r="F175" s="54"/>
      <c r="G175" s="54"/>
      <c r="H175" s="43">
        <f>IF($H$9=3,H169+H170+H171+H172+H173+H174,0)</f>
        <v>0</v>
      </c>
      <c r="I175" s="43">
        <f>IF($H$9=3,I169+I170+I171+I172+I173+I174,0)</f>
        <v>0</v>
      </c>
      <c r="J175" s="54"/>
      <c r="K175" s="54"/>
      <c r="L175" s="54"/>
      <c r="M175" s="54"/>
      <c r="N175" s="52"/>
      <c r="O175" s="52"/>
    </row>
    <row r="176" spans="4:15">
      <c r="N176" s="3"/>
      <c r="O176" s="3"/>
    </row>
    <row r="177" spans="4:15">
      <c r="N177" s="3"/>
      <c r="O177" s="3"/>
    </row>
    <row r="178" spans="4:15">
      <c r="N178" s="3"/>
      <c r="O178" s="3"/>
    </row>
    <row r="179" spans="4:15">
      <c r="D179" s="162" t="s">
        <v>135</v>
      </c>
      <c r="E179" s="162"/>
      <c r="F179" s="162"/>
      <c r="N179" s="3"/>
      <c r="O179" s="3"/>
    </row>
    <row r="180" spans="4:15">
      <c r="N180" s="3"/>
      <c r="O180" s="3"/>
    </row>
    <row r="181" spans="4:15" ht="15.75" thickBot="1">
      <c r="J181" s="3"/>
      <c r="K181" s="3"/>
      <c r="L181" s="3"/>
      <c r="M181" s="3"/>
      <c r="N181" s="3"/>
      <c r="O181" s="3"/>
    </row>
    <row r="182" spans="4:15">
      <c r="D182" s="24"/>
      <c r="E182" s="16"/>
      <c r="F182" s="155" t="s">
        <v>4</v>
      </c>
      <c r="G182" s="156"/>
      <c r="H182" s="134"/>
      <c r="I182" s="134"/>
      <c r="J182" s="6"/>
      <c r="K182" s="3"/>
      <c r="L182" s="161"/>
      <c r="M182" s="161"/>
      <c r="N182" s="3"/>
      <c r="O182" s="3"/>
    </row>
    <row r="183" spans="4:15">
      <c r="D183" s="23"/>
      <c r="E183" s="3"/>
      <c r="F183" s="6" t="s">
        <v>2</v>
      </c>
      <c r="G183" s="27" t="s">
        <v>3</v>
      </c>
      <c r="H183" s="134"/>
      <c r="I183" s="134"/>
      <c r="J183" s="6"/>
      <c r="K183" s="3"/>
      <c r="L183" s="6"/>
      <c r="M183" s="6"/>
      <c r="N183" s="3"/>
      <c r="O183" s="3"/>
    </row>
    <row r="184" spans="4:15">
      <c r="D184" s="23" t="b">
        <f>AND($D$1=1,'Simulazione 4.2'!$C$3&lt;=20,'Simulazione 4.2'!$C$3&gt;=1)</f>
        <v>1</v>
      </c>
      <c r="E184" s="29" t="s">
        <v>137</v>
      </c>
      <c r="F184" s="6">
        <v>288</v>
      </c>
      <c r="G184" s="27">
        <v>186</v>
      </c>
      <c r="H184" s="134">
        <f>IF(D184=TRUE,F184,0)</f>
        <v>288</v>
      </c>
      <c r="I184" s="134">
        <f>IF(D184=TRUE,G184,0)</f>
        <v>186</v>
      </c>
      <c r="J184" s="3"/>
      <c r="K184" s="29"/>
      <c r="L184" s="6"/>
      <c r="M184" s="6"/>
      <c r="N184" s="3"/>
      <c r="O184" s="3"/>
    </row>
    <row r="185" spans="4:15">
      <c r="D185" s="23" t="b">
        <f>AND($D$1=1,'Simulazione 4.2'!$C$3&lt;=200,'Simulazione 4.2'!$C$3&gt;20)</f>
        <v>0</v>
      </c>
      <c r="E185" s="29" t="s">
        <v>8</v>
      </c>
      <c r="F185" s="6">
        <v>276</v>
      </c>
      <c r="G185" s="27">
        <v>174</v>
      </c>
      <c r="H185" s="134">
        <f t="shared" ref="H185:H186" si="64">IF(D185=TRUE,F185,0)</f>
        <v>0</v>
      </c>
      <c r="I185" s="134">
        <f>IF(D185=TRUE,G185,0)</f>
        <v>0</v>
      </c>
      <c r="J185" s="3"/>
      <c r="K185" s="29"/>
      <c r="L185" s="6"/>
      <c r="M185" s="6"/>
      <c r="N185" s="3"/>
      <c r="O185" s="3"/>
    </row>
    <row r="186" spans="4:15" ht="15.75" thickBot="1">
      <c r="D186" s="30" t="b">
        <f>AND($D$1=1,'Simulazione 4.2'!$C$3&gt;200)</f>
        <v>0</v>
      </c>
      <c r="E186" s="36" t="s">
        <v>138</v>
      </c>
      <c r="F186" s="37">
        <v>255</v>
      </c>
      <c r="G186" s="38">
        <v>153</v>
      </c>
      <c r="H186" s="134">
        <f t="shared" si="64"/>
        <v>0</v>
      </c>
      <c r="I186" s="134">
        <f>IF(D186=TRUE,G186,0)</f>
        <v>0</v>
      </c>
      <c r="J186" s="3"/>
      <c r="K186" s="29"/>
      <c r="L186" s="6"/>
      <c r="M186" s="6"/>
      <c r="N186" s="3"/>
      <c r="O186" s="3"/>
    </row>
    <row r="187" spans="4:15" ht="15.75" thickBot="1">
      <c r="F187" s="134"/>
      <c r="G187" s="134"/>
      <c r="H187" s="43">
        <f>IF($H$9=2,H184+H185+H186,0)</f>
        <v>0</v>
      </c>
      <c r="I187" s="43">
        <f>IF($H$9=2,I184+I185+I186,0)</f>
        <v>0</v>
      </c>
      <c r="J187" s="3"/>
      <c r="K187" s="6"/>
      <c r="L187" s="6"/>
      <c r="M187" s="6"/>
      <c r="N187" s="3"/>
      <c r="O187" s="3"/>
    </row>
    <row r="188" spans="4:15" ht="15.75" thickBot="1">
      <c r="J188" s="3"/>
      <c r="K188" s="3"/>
      <c r="L188" s="3"/>
      <c r="M188" s="3"/>
      <c r="N188" s="3"/>
      <c r="O188" s="3"/>
    </row>
    <row r="189" spans="4:15">
      <c r="D189" s="24"/>
      <c r="E189" s="16"/>
      <c r="F189" s="155" t="s">
        <v>4</v>
      </c>
      <c r="G189" s="156"/>
      <c r="H189" s="134"/>
      <c r="I189" s="134"/>
      <c r="J189" s="3"/>
      <c r="K189" s="3"/>
      <c r="L189" s="3"/>
      <c r="M189" s="3"/>
      <c r="N189" s="3"/>
      <c r="O189" s="3"/>
    </row>
    <row r="190" spans="4:15">
      <c r="D190" s="23"/>
      <c r="E190" s="3"/>
      <c r="F190" s="6" t="s">
        <v>2</v>
      </c>
      <c r="G190" s="27" t="s">
        <v>3</v>
      </c>
      <c r="H190" s="134"/>
      <c r="I190" s="134"/>
      <c r="J190" s="3"/>
      <c r="K190" s="3"/>
      <c r="L190" s="3"/>
      <c r="M190" s="3"/>
      <c r="N190" s="3"/>
      <c r="O190" s="3"/>
    </row>
    <row r="191" spans="4:15">
      <c r="D191" s="23" t="b">
        <f>AND($D$1=2,'Simulazione 4.2'!$C$3&lt;=20,'Simulazione 4.2'!$C$3&gt;=1)</f>
        <v>0</v>
      </c>
      <c r="E191" s="29" t="s">
        <v>137</v>
      </c>
      <c r="F191" s="6">
        <v>242</v>
      </c>
      <c r="G191" s="27">
        <v>160</v>
      </c>
      <c r="H191" s="134">
        <f t="shared" ref="H191:H193" si="65">IF(D191=TRUE,F191,0)</f>
        <v>0</v>
      </c>
      <c r="I191" s="134">
        <f t="shared" ref="I191:I193" si="66">IF(D191=TRUE,G191,0)</f>
        <v>0</v>
      </c>
      <c r="J191" s="3"/>
      <c r="K191" s="3"/>
      <c r="L191" s="3"/>
      <c r="M191" s="3"/>
      <c r="N191" s="3"/>
      <c r="O191" s="3"/>
    </row>
    <row r="192" spans="4:15">
      <c r="D192" s="23" t="b">
        <f>AND($D$1=2,'Simulazione 4.2'!$C$3&lt;=200,'Simulazione 4.2'!$C$3&gt;20)</f>
        <v>0</v>
      </c>
      <c r="E192" s="29" t="s">
        <v>8</v>
      </c>
      <c r="F192" s="6">
        <v>231</v>
      </c>
      <c r="G192" s="27">
        <v>149</v>
      </c>
      <c r="H192" s="134">
        <f t="shared" si="65"/>
        <v>0</v>
      </c>
      <c r="I192" s="134">
        <f t="shared" si="66"/>
        <v>0</v>
      </c>
      <c r="J192" s="3"/>
      <c r="K192" s="3"/>
      <c r="L192" s="3"/>
      <c r="M192" s="3"/>
      <c r="N192" s="3"/>
      <c r="O192" s="3"/>
    </row>
    <row r="193" spans="4:15" ht="15.75" thickBot="1">
      <c r="D193" s="30" t="b">
        <f>AND($D$1=2,'Simulazione 4.2'!$C$3&gt;200)</f>
        <v>0</v>
      </c>
      <c r="E193" s="36" t="s">
        <v>138</v>
      </c>
      <c r="F193" s="37">
        <v>217</v>
      </c>
      <c r="G193" s="38">
        <v>135</v>
      </c>
      <c r="H193" s="134">
        <f t="shared" si="65"/>
        <v>0</v>
      </c>
      <c r="I193" s="134">
        <f t="shared" si="66"/>
        <v>0</v>
      </c>
      <c r="J193" s="3"/>
      <c r="K193" s="3"/>
      <c r="L193" s="3"/>
      <c r="M193" s="3"/>
      <c r="N193" s="3"/>
      <c r="O193" s="3"/>
    </row>
    <row r="194" spans="4:15" ht="15.75" thickBot="1">
      <c r="F194" s="134"/>
      <c r="G194" s="134"/>
      <c r="H194" s="43">
        <f>IF($H$9=2,H191+H192+H193,0)</f>
        <v>0</v>
      </c>
      <c r="I194" s="43">
        <f>IF($H$9=2,I191+I192+I193,0)</f>
        <v>0</v>
      </c>
      <c r="N194" s="3"/>
      <c r="O194" s="3"/>
    </row>
    <row r="195" spans="4:15">
      <c r="N195" s="3"/>
      <c r="O195" s="3"/>
    </row>
    <row r="196" spans="4:15" ht="15.75" thickBot="1">
      <c r="N196" s="3"/>
      <c r="O196" s="3"/>
    </row>
    <row r="197" spans="4:15">
      <c r="D197" s="24"/>
      <c r="E197" s="16"/>
      <c r="F197" s="155" t="s">
        <v>4</v>
      </c>
      <c r="G197" s="156"/>
      <c r="H197" s="134"/>
      <c r="I197" s="134"/>
      <c r="N197" s="3"/>
      <c r="O197" s="3"/>
    </row>
    <row r="198" spans="4:15">
      <c r="D198" s="23"/>
      <c r="E198" s="3"/>
      <c r="F198" s="6" t="s">
        <v>2</v>
      </c>
      <c r="G198" s="27" t="s">
        <v>3</v>
      </c>
      <c r="H198" s="134"/>
      <c r="I198" s="134"/>
    </row>
    <row r="199" spans="4:15">
      <c r="D199" s="23" t="b">
        <f>AND($D$1=3,'Simulazione 4.2'!$C$3&lt;=20,'Simulazione 4.2'!$C$3&gt;=1)</f>
        <v>0</v>
      </c>
      <c r="E199" s="29" t="s">
        <v>137</v>
      </c>
      <c r="F199" s="6">
        <v>218</v>
      </c>
      <c r="G199" s="27">
        <v>144</v>
      </c>
      <c r="H199" s="134">
        <f t="shared" ref="H199:H201" si="67">IF(D199=TRUE,F199,0)</f>
        <v>0</v>
      </c>
      <c r="I199" s="134">
        <f t="shared" ref="I199:I200" si="68">IF(D199=TRUE,G199,0)</f>
        <v>0</v>
      </c>
    </row>
    <row r="200" spans="4:15">
      <c r="D200" s="23" t="b">
        <f>AND($D$1=3,'Simulazione 4.2'!$C$3&lt;=200,'Simulazione 4.2'!$C$3&gt;20)</f>
        <v>0</v>
      </c>
      <c r="E200" s="29" t="s">
        <v>8</v>
      </c>
      <c r="F200" s="6">
        <v>208</v>
      </c>
      <c r="G200" s="27">
        <v>134</v>
      </c>
      <c r="H200" s="134">
        <f t="shared" si="67"/>
        <v>0</v>
      </c>
      <c r="I200" s="134">
        <f t="shared" si="68"/>
        <v>0</v>
      </c>
    </row>
    <row r="201" spans="4:15" ht="15.75" thickBot="1">
      <c r="D201" s="30" t="b">
        <f>AND($D$1=3,'Simulazione 4.2'!$C$3&gt;200)</f>
        <v>0</v>
      </c>
      <c r="E201" s="36" t="s">
        <v>138</v>
      </c>
      <c r="F201" s="37">
        <v>195</v>
      </c>
      <c r="G201" s="38">
        <v>121</v>
      </c>
      <c r="H201" s="134">
        <f t="shared" si="67"/>
        <v>0</v>
      </c>
      <c r="I201" s="134">
        <f>IF(D201=TRUE,(G201+M201)/2,0)</f>
        <v>0</v>
      </c>
    </row>
    <row r="202" spans="4:15" ht="15.75" thickBot="1">
      <c r="F202" s="134"/>
      <c r="G202" s="134"/>
      <c r="H202" s="43">
        <f>IF($H$9=2,H199+H200+H201,0)</f>
        <v>0</v>
      </c>
      <c r="I202" s="43">
        <f>IF($H$9=2,I199+I200+I201,0)</f>
        <v>0</v>
      </c>
    </row>
    <row r="204" spans="4:15" ht="15.75" thickBot="1"/>
    <row r="205" spans="4:15">
      <c r="D205" s="24"/>
      <c r="E205" s="16"/>
      <c r="F205" s="155" t="s">
        <v>4</v>
      </c>
      <c r="G205" s="156"/>
      <c r="H205" s="134"/>
      <c r="I205" s="134"/>
    </row>
    <row r="206" spans="4:15">
      <c r="D206" s="23"/>
      <c r="E206" s="3"/>
      <c r="F206" s="6" t="s">
        <v>2</v>
      </c>
      <c r="G206" s="27" t="s">
        <v>3</v>
      </c>
      <c r="H206" s="134"/>
      <c r="I206" s="134"/>
    </row>
    <row r="207" spans="4:15">
      <c r="D207" s="23" t="b">
        <f>AND($D$1=4,'Simulazione 4.2'!$C$3&lt;=20,'Simulazione 4.2'!$C$3&gt;=1)</f>
        <v>0</v>
      </c>
      <c r="E207" s="29" t="s">
        <v>137</v>
      </c>
      <c r="F207" s="6">
        <v>196</v>
      </c>
      <c r="G207" s="27">
        <v>130</v>
      </c>
      <c r="H207" s="134">
        <f t="shared" ref="H207:H209" si="69">IF(D207=TRUE,F207,0)</f>
        <v>0</v>
      </c>
      <c r="I207" s="134">
        <f t="shared" ref="I207:I209" si="70">IF(D207=TRUE,G207,0)</f>
        <v>0</v>
      </c>
    </row>
    <row r="208" spans="4:15">
      <c r="D208" s="23" t="b">
        <f>AND($D$1=4,'Simulazione 4.2'!$C$3&lt;=200,'Simulazione 4.2'!$C$3&gt;20)</f>
        <v>0</v>
      </c>
      <c r="E208" s="29" t="s">
        <v>8</v>
      </c>
      <c r="F208" s="6">
        <v>187</v>
      </c>
      <c r="G208" s="27">
        <v>121</v>
      </c>
      <c r="H208" s="134">
        <f t="shared" si="69"/>
        <v>0</v>
      </c>
      <c r="I208" s="134">
        <f t="shared" si="70"/>
        <v>0</v>
      </c>
    </row>
    <row r="209" spans="4:9" ht="15.75" thickBot="1">
      <c r="D209" s="30" t="b">
        <f>AND($D$1=4,'Simulazione 4.2'!$C$3&gt;200)</f>
        <v>0</v>
      </c>
      <c r="E209" s="36" t="s">
        <v>138</v>
      </c>
      <c r="F209" s="37">
        <v>176</v>
      </c>
      <c r="G209" s="38">
        <v>109</v>
      </c>
      <c r="H209" s="134">
        <f t="shared" si="69"/>
        <v>0</v>
      </c>
      <c r="I209" s="134">
        <f t="shared" si="70"/>
        <v>0</v>
      </c>
    </row>
    <row r="210" spans="4:9" ht="15.75" thickBot="1">
      <c r="F210" s="134"/>
      <c r="G210" s="134"/>
      <c r="H210" s="43">
        <f>IF($H$9=2,H207+H208+H209,0)</f>
        <v>0</v>
      </c>
      <c r="I210" s="43">
        <f>IF($H$9=2,I207+I208+I209,0)</f>
        <v>0</v>
      </c>
    </row>
    <row r="212" spans="4:9" ht="15.75" thickBot="1"/>
    <row r="213" spans="4:9">
      <c r="D213" s="24"/>
      <c r="E213" s="16"/>
      <c r="F213" s="155" t="s">
        <v>4</v>
      </c>
      <c r="G213" s="156"/>
      <c r="H213" s="134"/>
      <c r="I213" s="134"/>
    </row>
    <row r="214" spans="4:9">
      <c r="D214" s="23"/>
      <c r="E214" s="3"/>
      <c r="F214" s="6" t="s">
        <v>2</v>
      </c>
      <c r="G214" s="27" t="s">
        <v>3</v>
      </c>
      <c r="H214" s="134"/>
      <c r="I214" s="134"/>
    </row>
    <row r="215" spans="4:9">
      <c r="D215" s="23" t="b">
        <f>AND($D$1=5,'Simulazione 4.2'!$C$3&lt;=20,'Simulazione 4.2'!$C$3&gt;=1)</f>
        <v>0</v>
      </c>
      <c r="E215" s="29" t="s">
        <v>137</v>
      </c>
      <c r="F215" s="6">
        <v>176</v>
      </c>
      <c r="G215" s="27">
        <v>117</v>
      </c>
      <c r="H215" s="134">
        <f t="shared" ref="H215:H217" si="71">IF(D215=TRUE,F215,0)</f>
        <v>0</v>
      </c>
      <c r="I215" s="134">
        <f t="shared" ref="I215:I217" si="72">IF(D215=TRUE,G215,0)</f>
        <v>0</v>
      </c>
    </row>
    <row r="216" spans="4:9">
      <c r="D216" s="23" t="b">
        <f>AND($D$1=5,'Simulazione 4.2'!$C$3&lt;=200,'Simulazione 4.2'!$C$3&gt;20)</f>
        <v>0</v>
      </c>
      <c r="E216" s="29" t="s">
        <v>8</v>
      </c>
      <c r="F216" s="6">
        <v>169</v>
      </c>
      <c r="G216" s="27">
        <v>109</v>
      </c>
      <c r="H216" s="134">
        <f t="shared" si="71"/>
        <v>0</v>
      </c>
      <c r="I216" s="134">
        <f t="shared" si="72"/>
        <v>0</v>
      </c>
    </row>
    <row r="217" spans="4:9" ht="15.75" thickBot="1">
      <c r="D217" s="30" t="b">
        <f>AND($D$1=5,'Simulazione 4.2'!$C$3&gt;200)</f>
        <v>0</v>
      </c>
      <c r="E217" s="36" t="s">
        <v>138</v>
      </c>
      <c r="F217" s="37">
        <v>158</v>
      </c>
      <c r="G217" s="38">
        <v>98</v>
      </c>
      <c r="H217" s="134">
        <f t="shared" si="71"/>
        <v>0</v>
      </c>
      <c r="I217" s="134">
        <f t="shared" si="72"/>
        <v>0</v>
      </c>
    </row>
    <row r="218" spans="4:9" ht="15.75" thickBot="1">
      <c r="F218" s="134"/>
      <c r="G218" s="134"/>
      <c r="H218" s="43">
        <f>IF($H$9=2,H215+H216+H217,0)</f>
        <v>0</v>
      </c>
      <c r="I218" s="43">
        <f>IF($H$9=2,I215+I216+I217,0)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D119:F119"/>
    <mergeCell ref="F189:G189"/>
    <mergeCell ref="F197:G197"/>
    <mergeCell ref="F205:G205"/>
    <mergeCell ref="F213:G213"/>
    <mergeCell ref="F121:G121"/>
    <mergeCell ref="L121:M121"/>
    <mergeCell ref="F131:G131"/>
    <mergeCell ref="L131:M131"/>
    <mergeCell ref="F182:G182"/>
    <mergeCell ref="L182:M182"/>
    <mergeCell ref="D179:F179"/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4.2</vt:lpstr>
      <vt:lpstr>Calcoli Titolo II</vt:lpstr>
      <vt:lpstr>'Simulazione 4.2'!Area_stampa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2012-07-19T11:43:00Z</dcterms:modified>
</cp:coreProperties>
</file>