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4.4" sheetId="1" r:id="rId1"/>
    <sheet name="Calcoli" sheetId="6" r:id="rId2"/>
  </sheets>
  <definedNames>
    <definedName name="_xlnm.Print_Area" localSheetId="0">'Simulazione 4.4'!$A$1:$X$78</definedName>
  </definedNames>
  <calcPr calcId="125725" forceFullCalc="1"/>
</workbook>
</file>

<file path=xl/calcChain.xml><?xml version="1.0" encoding="utf-8"?>
<calcChain xmlns="http://schemas.openxmlformats.org/spreadsheetml/2006/main">
  <c r="D223" i="6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4"/>
  <c r="AB74"/>
  <c r="AA74"/>
  <c r="Z74"/>
  <c r="Y74"/>
  <c r="AC69"/>
  <c r="AB69"/>
  <c r="AA69"/>
  <c r="Z69"/>
  <c r="Y69"/>
  <c r="E73"/>
  <c r="O77" i="6"/>
  <c r="N72"/>
  <c r="P72" s="1"/>
  <c r="N76"/>
  <c r="P76" s="1"/>
  <c r="N75"/>
  <c r="P75" s="1"/>
  <c r="N74"/>
  <c r="P74" s="1"/>
  <c r="N73"/>
  <c r="P73" s="1"/>
  <c r="L72"/>
  <c r="I78"/>
  <c r="AB67" i="1" s="1"/>
  <c r="I76" i="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0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X81" l="1"/>
  <c r="AB81"/>
  <c r="Y86"/>
  <c r="AA81"/>
  <c r="X86"/>
  <c r="AB86"/>
  <c r="Z81"/>
  <c r="AA86"/>
  <c r="Y81"/>
  <c r="AA67" i="1"/>
  <c r="Z67"/>
  <c r="Y67"/>
  <c r="AC67"/>
  <c r="P77" i="6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E72" i="1" l="1"/>
  <c r="I218" i="6"/>
  <c r="I210"/>
  <c r="I194"/>
  <c r="I202"/>
  <c r="I187"/>
  <c r="I149"/>
  <c r="I175"/>
  <c r="I161"/>
  <c r="I139"/>
  <c r="I129"/>
  <c r="E82"/>
  <c r="D85"/>
  <c r="F82" l="1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4" i="1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H51" i="6" l="1"/>
  <c r="H65"/>
  <c r="N65"/>
  <c r="O29"/>
  <c r="I29"/>
  <c r="P11"/>
  <c r="P12"/>
  <c r="R12" s="1"/>
  <c r="P9"/>
  <c r="R9" s="1"/>
  <c r="P10"/>
  <c r="R10" s="1"/>
  <c r="P7"/>
  <c r="R7" s="1"/>
  <c r="P8"/>
  <c r="P5"/>
  <c r="P6"/>
  <c r="R6" s="1"/>
  <c r="P3"/>
  <c r="R3" s="1"/>
  <c r="P2"/>
  <c r="R2" s="1"/>
  <c r="P4"/>
  <c r="R4" s="1"/>
  <c r="P1"/>
  <c r="R1" s="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11"/>
  <c r="R8"/>
  <c r="R5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O65" l="1"/>
  <c r="O51"/>
  <c r="I65"/>
  <c r="I51"/>
  <c r="N39"/>
  <c r="N29"/>
  <c r="H39"/>
  <c r="O19"/>
  <c r="H29"/>
  <c r="N19"/>
  <c r="I19"/>
  <c r="H19"/>
  <c r="H82"/>
  <c r="G85"/>
  <c r="R27"/>
  <c r="C30" i="1"/>
  <c r="F25" l="1"/>
  <c r="F26"/>
  <c r="E25"/>
  <c r="E26"/>
  <c r="Q52" i="6"/>
  <c r="S52" s="1"/>
  <c r="Q53"/>
  <c r="S53" s="1"/>
  <c r="I82"/>
  <c r="H85"/>
  <c r="C41" i="1"/>
  <c r="E53"/>
  <c r="AC71" l="1"/>
  <c r="Y71"/>
  <c r="Z71"/>
  <c r="AA71"/>
  <c r="AB71"/>
  <c r="F53"/>
  <c r="S55" i="6"/>
  <c r="C33" i="1" s="1"/>
  <c r="J82" i="6"/>
  <c r="I85"/>
  <c r="E71" i="1"/>
  <c r="U71"/>
  <c r="Q71"/>
  <c r="M71"/>
  <c r="I71"/>
  <c r="V71"/>
  <c r="R71"/>
  <c r="N71"/>
  <c r="J71"/>
  <c r="F71"/>
  <c r="W71"/>
  <c r="S71"/>
  <c r="O71"/>
  <c r="K71"/>
  <c r="G71"/>
  <c r="X71"/>
  <c r="T71"/>
  <c r="P71"/>
  <c r="L71"/>
  <c r="H71"/>
  <c r="C35" l="1"/>
  <c r="G53"/>
  <c r="E54"/>
  <c r="E55" s="1"/>
  <c r="C34"/>
  <c r="K82" i="6"/>
  <c r="J85"/>
  <c r="H53" i="1" l="1"/>
  <c r="E61"/>
  <c r="F54"/>
  <c r="F55" s="1"/>
  <c r="L82" i="6"/>
  <c r="K85"/>
  <c r="I53" i="1" l="1"/>
  <c r="G54"/>
  <c r="F61"/>
  <c r="M82" i="6"/>
  <c r="L85"/>
  <c r="J53" i="1" l="1"/>
  <c r="H54"/>
  <c r="G55"/>
  <c r="G61"/>
  <c r="N82" i="6"/>
  <c r="M85"/>
  <c r="K53" i="1" l="1"/>
  <c r="I54"/>
  <c r="H55"/>
  <c r="H61"/>
  <c r="O82" i="6"/>
  <c r="N85"/>
  <c r="L53" i="1" l="1"/>
  <c r="J54"/>
  <c r="I55"/>
  <c r="I61"/>
  <c r="P82" i="6"/>
  <c r="O85"/>
  <c r="M53" i="1" l="1"/>
  <c r="K54"/>
  <c r="J55"/>
  <c r="J61"/>
  <c r="Q82" i="6"/>
  <c r="P85"/>
  <c r="N53" i="1" l="1"/>
  <c r="L54"/>
  <c r="K55"/>
  <c r="K61"/>
  <c r="R82" i="6"/>
  <c r="Q85"/>
  <c r="O53" i="1" l="1"/>
  <c r="M54"/>
  <c r="L55"/>
  <c r="L61"/>
  <c r="S82" i="6"/>
  <c r="R85"/>
  <c r="P53" i="1" l="1"/>
  <c r="N54"/>
  <c r="M55"/>
  <c r="M61"/>
  <c r="T82" i="6"/>
  <c r="S85"/>
  <c r="Q53" i="1" l="1"/>
  <c r="O54"/>
  <c r="N55"/>
  <c r="N61"/>
  <c r="U82" i="6"/>
  <c r="T85"/>
  <c r="R53" i="1" l="1"/>
  <c r="P54"/>
  <c r="O55"/>
  <c r="O61"/>
  <c r="V82" i="6"/>
  <c r="U85"/>
  <c r="S53" i="1" l="1"/>
  <c r="Q54"/>
  <c r="P55"/>
  <c r="P61"/>
  <c r="W82" i="6"/>
  <c r="V85"/>
  <c r="W85" l="1"/>
  <c r="X82"/>
  <c r="T53" i="1"/>
  <c r="R54"/>
  <c r="Q55"/>
  <c r="Q61"/>
  <c r="X85" i="6" l="1"/>
  <c r="Y82"/>
  <c r="U53" i="1"/>
  <c r="S54"/>
  <c r="R55"/>
  <c r="R61"/>
  <c r="Y85" i="6" l="1"/>
  <c r="Z82"/>
  <c r="V53" i="1"/>
  <c r="T54"/>
  <c r="S55"/>
  <c r="S61"/>
  <c r="D26"/>
  <c r="D25"/>
  <c r="Z85" i="6" l="1"/>
  <c r="AA82"/>
  <c r="W53" i="1"/>
  <c r="U54"/>
  <c r="T55"/>
  <c r="T57" s="1"/>
  <c r="T61"/>
  <c r="Q57"/>
  <c r="M57"/>
  <c r="I57"/>
  <c r="R57"/>
  <c r="N57"/>
  <c r="J57"/>
  <c r="F57"/>
  <c r="S57"/>
  <c r="O57"/>
  <c r="K57"/>
  <c r="G57"/>
  <c r="P57"/>
  <c r="L57"/>
  <c r="H57"/>
  <c r="E58"/>
  <c r="Q58"/>
  <c r="M58"/>
  <c r="I58"/>
  <c r="R58"/>
  <c r="N58"/>
  <c r="J58"/>
  <c r="F58"/>
  <c r="S58"/>
  <c r="O58"/>
  <c r="K58"/>
  <c r="G58"/>
  <c r="T58"/>
  <c r="P58"/>
  <c r="L58"/>
  <c r="H58"/>
  <c r="E57"/>
  <c r="AA85" i="6" l="1"/>
  <c r="AB82"/>
  <c r="AB85" s="1"/>
  <c r="X53" i="1"/>
  <c r="Y53" s="1"/>
  <c r="V54"/>
  <c r="V58" s="1"/>
  <c r="U61"/>
  <c r="U55"/>
  <c r="U58"/>
  <c r="E62"/>
  <c r="F62"/>
  <c r="I62"/>
  <c r="O62"/>
  <c r="L62"/>
  <c r="G62"/>
  <c r="R62"/>
  <c r="Q62"/>
  <c r="T62"/>
  <c r="J62"/>
  <c r="P62"/>
  <c r="K62"/>
  <c r="H62"/>
  <c r="S62"/>
  <c r="N62"/>
  <c r="M62"/>
  <c r="Z53" l="1"/>
  <c r="W54"/>
  <c r="V61"/>
  <c r="V55"/>
  <c r="U57"/>
  <c r="U62" l="1"/>
  <c r="AA53"/>
  <c r="X54"/>
  <c r="Y54" s="1"/>
  <c r="Y59" s="1"/>
  <c r="W58"/>
  <c r="W55"/>
  <c r="W61"/>
  <c r="V57"/>
  <c r="V62" l="1"/>
  <c r="AB53"/>
  <c r="Y61"/>
  <c r="Z54"/>
  <c r="Z59" s="1"/>
  <c r="Y55"/>
  <c r="Y60" s="1"/>
  <c r="X61"/>
  <c r="X55"/>
  <c r="X57" s="1"/>
  <c r="X58"/>
  <c r="W57"/>
  <c r="D88" i="6"/>
  <c r="E64" i="1" s="1"/>
  <c r="D67" i="6" s="1"/>
  <c r="W62" i="1" l="1"/>
  <c r="AC53"/>
  <c r="Y62"/>
  <c r="Z61"/>
  <c r="AA54"/>
  <c r="AA59" s="1"/>
  <c r="Z55"/>
  <c r="Z60" s="1"/>
  <c r="X62"/>
  <c r="E88" i="6"/>
  <c r="F64" i="1" s="1"/>
  <c r="F88" i="6"/>
  <c r="G64" i="1" s="1"/>
  <c r="F67" i="6" s="1"/>
  <c r="E67" l="1"/>
  <c r="F65" i="1" s="1"/>
  <c r="AA61"/>
  <c r="AB54"/>
  <c r="AB59" s="1"/>
  <c r="AA55"/>
  <c r="AA60" s="1"/>
  <c r="Z62"/>
  <c r="F67"/>
  <c r="G65"/>
  <c r="G88" i="6"/>
  <c r="H64" i="1" s="1"/>
  <c r="G67" i="6" s="1"/>
  <c r="E65" i="1"/>
  <c r="F68" l="1"/>
  <c r="E92" i="6"/>
  <c r="E94" s="1"/>
  <c r="E95" s="1"/>
  <c r="AC54" i="1"/>
  <c r="AC59" s="1"/>
  <c r="AB61"/>
  <c r="AB55"/>
  <c r="AB60" s="1"/>
  <c r="AA62"/>
  <c r="G67"/>
  <c r="G68"/>
  <c r="E68"/>
  <c r="E67"/>
  <c r="F92" i="6"/>
  <c r="F103" s="1"/>
  <c r="F104" s="1"/>
  <c r="D92"/>
  <c r="D106" s="1"/>
  <c r="H65" i="1"/>
  <c r="H88" i="6"/>
  <c r="I64" i="1" s="1"/>
  <c r="H67" i="6" s="1"/>
  <c r="E106" l="1"/>
  <c r="E107" s="1"/>
  <c r="E97"/>
  <c r="E98" s="1"/>
  <c r="E100"/>
  <c r="E101" s="1"/>
  <c r="E103"/>
  <c r="E104" s="1"/>
  <c r="AC61" i="1"/>
  <c r="AC55"/>
  <c r="AC60" s="1"/>
  <c r="AB62"/>
  <c r="H67"/>
  <c r="H68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5" i="1"/>
  <c r="I88" i="6"/>
  <c r="J64" i="1" s="1"/>
  <c r="I67" i="6" s="1"/>
  <c r="E110" l="1"/>
  <c r="F66" i="1" s="1"/>
  <c r="F75" s="1"/>
  <c r="AC62"/>
  <c r="I68"/>
  <c r="I67"/>
  <c r="F110" i="6"/>
  <c r="G66" i="1" s="1"/>
  <c r="G106" i="6"/>
  <c r="G100"/>
  <c r="G101" s="1"/>
  <c r="G94"/>
  <c r="G95" s="1"/>
  <c r="G103"/>
  <c r="G104" s="1"/>
  <c r="G97"/>
  <c r="G98" s="1"/>
  <c r="H92"/>
  <c r="J65" i="1"/>
  <c r="J88" i="6"/>
  <c r="K64" i="1" s="1"/>
  <c r="J67" i="6" s="1"/>
  <c r="D107"/>
  <c r="D110" s="1"/>
  <c r="E66" i="1" s="1"/>
  <c r="E75" s="1"/>
  <c r="J67" l="1"/>
  <c r="J68"/>
  <c r="G75"/>
  <c r="E78"/>
  <c r="G107" i="6"/>
  <c r="G110" s="1"/>
  <c r="H66" i="1" s="1"/>
  <c r="K65"/>
  <c r="K88" i="6"/>
  <c r="L64" i="1" s="1"/>
  <c r="K67" i="6" s="1"/>
  <c r="H106"/>
  <c r="H94"/>
  <c r="H95" s="1"/>
  <c r="H100"/>
  <c r="H101" s="1"/>
  <c r="H97"/>
  <c r="H98" s="1"/>
  <c r="H103"/>
  <c r="H104" s="1"/>
  <c r="I92"/>
  <c r="K68" i="1" l="1"/>
  <c r="K67"/>
  <c r="H75"/>
  <c r="C114" i="6"/>
  <c r="F78" i="1"/>
  <c r="D114" i="6" s="1"/>
  <c r="H107"/>
  <c r="H110" s="1"/>
  <c r="I66" i="1" s="1"/>
  <c r="J92" i="6"/>
  <c r="I94"/>
  <c r="I95" s="1"/>
  <c r="I97"/>
  <c r="I98" s="1"/>
  <c r="I100"/>
  <c r="I101" s="1"/>
  <c r="I106"/>
  <c r="I107" s="1"/>
  <c r="I103"/>
  <c r="I104" s="1"/>
  <c r="L65" i="1"/>
  <c r="L88" i="6"/>
  <c r="M64" i="1" s="1"/>
  <c r="L67" i="6" s="1"/>
  <c r="L67" i="1" l="1"/>
  <c r="L68"/>
  <c r="I75"/>
  <c r="G78"/>
  <c r="I110" i="6"/>
  <c r="J66" i="1" s="1"/>
  <c r="M65"/>
  <c r="M88" i="6"/>
  <c r="N64" i="1" s="1"/>
  <c r="M67" i="6" s="1"/>
  <c r="J94"/>
  <c r="J95" s="1"/>
  <c r="J97"/>
  <c r="J98" s="1"/>
  <c r="J106"/>
  <c r="J103"/>
  <c r="J104" s="1"/>
  <c r="J100"/>
  <c r="J101" s="1"/>
  <c r="K92"/>
  <c r="E114" l="1"/>
  <c r="M68" i="1"/>
  <c r="M67"/>
  <c r="H78"/>
  <c r="J75"/>
  <c r="L92" i="6"/>
  <c r="N65" i="1"/>
  <c r="N88" i="6"/>
  <c r="O64" i="1" s="1"/>
  <c r="N67" i="6" s="1"/>
  <c r="K106"/>
  <c r="K94"/>
  <c r="K95" s="1"/>
  <c r="K100"/>
  <c r="K101" s="1"/>
  <c r="K97"/>
  <c r="K98" s="1"/>
  <c r="K103"/>
  <c r="K104" s="1"/>
  <c r="J107"/>
  <c r="J110" s="1"/>
  <c r="K66" i="1" s="1"/>
  <c r="F114" i="6" l="1"/>
  <c r="N67" i="1"/>
  <c r="N68"/>
  <c r="I78"/>
  <c r="K75"/>
  <c r="K107" i="6"/>
  <c r="K110" s="1"/>
  <c r="L66" i="1" s="1"/>
  <c r="L106" i="6"/>
  <c r="L103"/>
  <c r="L104" s="1"/>
  <c r="L94"/>
  <c r="L95" s="1"/>
  <c r="L100"/>
  <c r="L101" s="1"/>
  <c r="L97"/>
  <c r="L98" s="1"/>
  <c r="M92"/>
  <c r="O65" i="1"/>
  <c r="O88" i="6"/>
  <c r="P64" i="1" s="1"/>
  <c r="O67" i="6" s="1"/>
  <c r="G114" l="1"/>
  <c r="O67" i="1"/>
  <c r="O68"/>
  <c r="J78"/>
  <c r="L75"/>
  <c r="L107" i="6"/>
  <c r="L110" s="1"/>
  <c r="M66" i="1" s="1"/>
  <c r="N92" i="6"/>
  <c r="P65" i="1"/>
  <c r="P88" i="6"/>
  <c r="Q64" i="1" s="1"/>
  <c r="P67" i="6" s="1"/>
  <c r="M100"/>
  <c r="M101" s="1"/>
  <c r="M103"/>
  <c r="M104" s="1"/>
  <c r="M94"/>
  <c r="M95" s="1"/>
  <c r="M106"/>
  <c r="M97"/>
  <c r="M98" s="1"/>
  <c r="H114" l="1"/>
  <c r="P67" i="1"/>
  <c r="P68"/>
  <c r="K78"/>
  <c r="M75"/>
  <c r="M107" i="6"/>
  <c r="M110" s="1"/>
  <c r="N66" i="1" s="1"/>
  <c r="Q65"/>
  <c r="Q88" i="6"/>
  <c r="R64" i="1" s="1"/>
  <c r="Q67" i="6" s="1"/>
  <c r="N106"/>
  <c r="N100"/>
  <c r="N101" s="1"/>
  <c r="N97"/>
  <c r="N98" s="1"/>
  <c r="N103"/>
  <c r="N104" s="1"/>
  <c r="N94"/>
  <c r="N95" s="1"/>
  <c r="O92"/>
  <c r="I114" l="1"/>
  <c r="Q68" i="1"/>
  <c r="Q67"/>
  <c r="L78"/>
  <c r="M78" s="1"/>
  <c r="N75"/>
  <c r="N107" i="6"/>
  <c r="N110" s="1"/>
  <c r="O66" i="1" s="1"/>
  <c r="O103" i="6"/>
  <c r="O104" s="1"/>
  <c r="O106"/>
  <c r="O107" s="1"/>
  <c r="O94"/>
  <c r="O95" s="1"/>
  <c r="O100"/>
  <c r="O101" s="1"/>
  <c r="O97"/>
  <c r="O98" s="1"/>
  <c r="P92"/>
  <c r="R65" i="1"/>
  <c r="R88" i="6"/>
  <c r="S64" i="1" s="1"/>
  <c r="R67" i="6" s="1"/>
  <c r="R68" i="1" l="1"/>
  <c r="R67"/>
  <c r="J114" i="6"/>
  <c r="O75" i="1"/>
  <c r="N78"/>
  <c r="K114" i="6"/>
  <c r="Q92"/>
  <c r="S65" i="1"/>
  <c r="S88" i="6"/>
  <c r="T64" i="1" s="1"/>
  <c r="S67" i="6" s="1"/>
  <c r="P106"/>
  <c r="P107" s="1"/>
  <c r="P97"/>
  <c r="P98" s="1"/>
  <c r="P94"/>
  <c r="P95" s="1"/>
  <c r="P100"/>
  <c r="P101" s="1"/>
  <c r="P103"/>
  <c r="P104" s="1"/>
  <c r="O110"/>
  <c r="P66" i="1" s="1"/>
  <c r="S67" l="1"/>
  <c r="S68"/>
  <c r="P75"/>
  <c r="O78"/>
  <c r="L114" i="6"/>
  <c r="P110"/>
  <c r="Q66" i="1" s="1"/>
  <c r="Q106" i="6"/>
  <c r="Q107" s="1"/>
  <c r="Q100"/>
  <c r="Q101" s="1"/>
  <c r="Q94"/>
  <c r="Q95" s="1"/>
  <c r="Q97"/>
  <c r="Q98" s="1"/>
  <c r="Q103"/>
  <c r="Q104" s="1"/>
  <c r="R92"/>
  <c r="T88"/>
  <c r="U64" i="1" s="1"/>
  <c r="T67" i="6" s="1"/>
  <c r="T65" i="1"/>
  <c r="T68" l="1"/>
  <c r="T67"/>
  <c r="Q75"/>
  <c r="P78"/>
  <c r="M114" i="6"/>
  <c r="S92"/>
  <c r="R106"/>
  <c r="R107" s="1"/>
  <c r="R103"/>
  <c r="R104" s="1"/>
  <c r="R94"/>
  <c r="R95" s="1"/>
  <c r="R97"/>
  <c r="R98" s="1"/>
  <c r="R100"/>
  <c r="R101" s="1"/>
  <c r="U65" i="1"/>
  <c r="U88" i="6"/>
  <c r="V64" i="1" s="1"/>
  <c r="U67" i="6" s="1"/>
  <c r="Q110"/>
  <c r="R66" i="1" s="1"/>
  <c r="U67" l="1"/>
  <c r="U68"/>
  <c r="R75"/>
  <c r="Q78"/>
  <c r="N114" i="6"/>
  <c r="S106"/>
  <c r="S107" s="1"/>
  <c r="S97"/>
  <c r="S98" s="1"/>
  <c r="S94"/>
  <c r="S95" s="1"/>
  <c r="S103"/>
  <c r="S104" s="1"/>
  <c r="S100"/>
  <c r="S101" s="1"/>
  <c r="V65" i="1"/>
  <c r="V88" i="6"/>
  <c r="W64" i="1" s="1"/>
  <c r="V67" i="6" s="1"/>
  <c r="T92"/>
  <c r="R110"/>
  <c r="S66" i="1" s="1"/>
  <c r="V67" l="1"/>
  <c r="V68"/>
  <c r="S75"/>
  <c r="R78"/>
  <c r="O114" i="6"/>
  <c r="S110"/>
  <c r="T66" i="1" s="1"/>
  <c r="U92" i="6"/>
  <c r="W65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4" i="1" l="1"/>
  <c r="W67"/>
  <c r="W68"/>
  <c r="X64"/>
  <c r="T75"/>
  <c r="S78"/>
  <c r="P114" i="6"/>
  <c r="U106"/>
  <c r="U107" s="1"/>
  <c r="U97"/>
  <c r="U98" s="1"/>
  <c r="U94"/>
  <c r="U95" s="1"/>
  <c r="U103"/>
  <c r="U104" s="1"/>
  <c r="U100"/>
  <c r="U101" s="1"/>
  <c r="V92"/>
  <c r="T110"/>
  <c r="U66" i="1" s="1"/>
  <c r="X67" i="6" l="1"/>
  <c r="Y65" i="1" s="1"/>
  <c r="W67" i="6"/>
  <c r="X65" i="1" s="1"/>
  <c r="Z64"/>
  <c r="X67"/>
  <c r="U75"/>
  <c r="T78"/>
  <c r="Q114" i="6"/>
  <c r="V106"/>
  <c r="V107" s="1"/>
  <c r="V100"/>
  <c r="V101" s="1"/>
  <c r="V97"/>
  <c r="V98" s="1"/>
  <c r="V94"/>
  <c r="V95" s="1"/>
  <c r="V103"/>
  <c r="V104" s="1"/>
  <c r="U110"/>
  <c r="V66" i="1" s="1"/>
  <c r="W92" i="6" l="1"/>
  <c r="W97" s="1"/>
  <c r="W98" s="1"/>
  <c r="X68" i="1"/>
  <c r="Y68"/>
  <c r="X92" i="6"/>
  <c r="X97" s="1"/>
  <c r="X98" s="1"/>
  <c r="Y67"/>
  <c r="Z65" i="1" s="1"/>
  <c r="AA64"/>
  <c r="V75"/>
  <c r="U78"/>
  <c r="R114" i="6"/>
  <c r="V110"/>
  <c r="W66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68" i="1"/>
  <c r="Z67" i="6"/>
  <c r="AA65" i="1" s="1"/>
  <c r="AA68" s="1"/>
  <c r="W100" i="6"/>
  <c r="W101" s="1"/>
  <c r="X106"/>
  <c r="X107" s="1"/>
  <c r="W94"/>
  <c r="W95" s="1"/>
  <c r="AB64" i="1"/>
  <c r="AC64"/>
  <c r="W75"/>
  <c r="V78"/>
  <c r="S114" i="6"/>
  <c r="X110" l="1"/>
  <c r="Y66" i="1" s="1"/>
  <c r="Y75" s="1"/>
  <c r="Y103" i="6"/>
  <c r="Y104" s="1"/>
  <c r="Y94"/>
  <c r="Y95" s="1"/>
  <c r="W110"/>
  <c r="X66" i="1" s="1"/>
  <c r="X75" s="1"/>
  <c r="Y97" i="6"/>
  <c r="Y98" s="1"/>
  <c r="Y100"/>
  <c r="Y101" s="1"/>
  <c r="AA67"/>
  <c r="AB65" i="1" s="1"/>
  <c r="Z92" i="6"/>
  <c r="Z103" s="1"/>
  <c r="Z104" s="1"/>
  <c r="AB67"/>
  <c r="AC65" i="1" s="1"/>
  <c r="W78"/>
  <c r="T114" i="6"/>
  <c r="Z106" l="1"/>
  <c r="Z107" s="1"/>
  <c r="Z97"/>
  <c r="Z98" s="1"/>
  <c r="Y110"/>
  <c r="Z66" i="1" s="1"/>
  <c r="Z75" s="1"/>
  <c r="Z94" i="6"/>
  <c r="Z95" s="1"/>
  <c r="Z100"/>
  <c r="Z101" s="1"/>
  <c r="AA92"/>
  <c r="AA106" s="1"/>
  <c r="AA107" s="1"/>
  <c r="AB68" i="1"/>
  <c r="AC68"/>
  <c r="AB92" i="6"/>
  <c r="AB103" s="1"/>
  <c r="AB104" s="1"/>
  <c r="X78" i="1"/>
  <c r="U114" i="6"/>
  <c r="Z110" l="1"/>
  <c r="AA66" i="1" s="1"/>
  <c r="AA75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78" i="1"/>
  <c r="Z78" s="1"/>
  <c r="I39"/>
  <c r="V114" i="6"/>
  <c r="AA78" i="1" l="1"/>
  <c r="AB110" i="6"/>
  <c r="AC66" i="1" s="1"/>
  <c r="AC75" s="1"/>
  <c r="AA110" i="6"/>
  <c r="AB66" i="1" s="1"/>
  <c r="AB75" s="1"/>
  <c r="AB78" l="1"/>
  <c r="AC78" s="1"/>
  <c r="I40" s="1"/>
</calcChain>
</file>

<file path=xl/sharedStrings.xml><?xml version="1.0" encoding="utf-8"?>
<sst xmlns="http://schemas.openxmlformats.org/spreadsheetml/2006/main" count="379" uniqueCount="167">
  <si>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</si>
  <si>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</si>
  <si>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</si>
  <si>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</si>
  <si>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</si>
  <si>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</si>
  <si>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</si>
  <si>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</si>
  <si>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</si>
  <si>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</si>
  <si>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</si>
  <si>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</si>
  <si>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</si>
  <si>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</si>
  <si>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</si>
  <si>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</si>
  <si>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</si>
  <si>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</si>
  <si>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</si>
  <si>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</si>
  <si>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</si>
  <si>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</si>
  <si>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</si>
  <si>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</si>
  <si>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</si>
  <si>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</si>
  <si>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</si>
  <si>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</si>
  <si>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</si>
  <si>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</si>
  <si>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</si>
  <si>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</si>
  <si>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</si>
  <si>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</si>
  <si>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</si>
  <si>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</si>
  <si>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</si>
  <si>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</si>
  <si>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</si>
  <si>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</si>
  <si>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</si>
  <si>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</si>
  <si>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</si>
  <si>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</si>
  <si>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</si>
  <si>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</si>
  <si>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</si>
  <si>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</si>
  <si>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</si>
  <si>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</si>
  <si>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</si>
  <si>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</si>
  <si>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</si>
  <si>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</si>
  <si>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</si>
  <si>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</si>
  <si>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</si>
  <si>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</si>
  <si>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</si>
  <si>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</si>
  <si>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</si>
  <si>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</si>
  <si>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</si>
  <si>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</si>
  <si>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</si>
  <si>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</si>
  <si>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</si>
  <si>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</si>
  <si>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</si>
  <si>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</si>
  <si>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</si>
  <si>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</si>
  <si>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</si>
  <si>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</si>
  <si>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</si>
  <si>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</si>
  <si>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</si>
  <si>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</si>
  <si>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</si>
  <si>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</si>
  <si>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</si>
  <si>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</si>
  <si>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</si>
  <si>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</si>
  <si>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</si>
  <si>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</si>
  <si>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</si>
  <si>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</si>
  <si>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</si>
  <si>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</si>
  <si>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</si>
  <si>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</si>
  <si>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</si>
  <si>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</si>
  <si>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</si>
  <si>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</si>
  <si>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</si>
  <si>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</si>
  <si>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</si>
  <si>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</si>
  <si>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</si>
  <si>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</si>
  <si>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</si>
  <si>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</si>
  <si>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</si>
  <si>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</si>
  <si>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</si>
  <si>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</si>
  <si>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</si>
  <si>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</si>
  <si>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</si>
  <si>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</si>
  <si>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</si>
  <si>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</si>
  <si>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</si>
  <si>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</si>
  <si>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</si>
  <si>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</si>
  <si>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</si>
  <si>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</si>
  <si>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</si>
  <si>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</si>
  <si>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</si>
  <si>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</si>
  <si>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</si>
  <si>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</si>
  <si>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</si>
  <si>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</si>
  <si>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</si>
  <si>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</si>
  <si>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</si>
  <si>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Azienda Agricola (no ammortamento)</t>
  </si>
  <si>
    <t>Amministrazioni Pubbliche</t>
  </si>
  <si>
    <t>Irap</t>
  </si>
  <si>
    <t>Irpef</t>
  </si>
  <si>
    <t>Ires</t>
  </si>
  <si>
    <t>Nessuna</t>
  </si>
  <si>
    <t>Smaltiento Amianto, opere edili, etc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</si>
  <si>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</si>
  <si>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</si>
  <si>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</si>
  <si>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</si>
  <si>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</si>
  <si>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</si>
  <si>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</si>
  <si>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</si>
  <si>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</si>
  <si>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</si>
  <si>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</si>
  <si>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</si>
  <si>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</si>
  <si>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</si>
  <si>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</si>
  <si>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</si>
  <si>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</si>
  <si>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</si>
  <si>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</si>
  <si>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</si>
  <si>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</si>
  <si>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Contibuto scambio sul posto (dal 21° anno)</t>
  </si>
  <si>
    <t>Flusso di cassa finale 20 anni</t>
  </si>
  <si>
    <t>Flusso di cassa finale 25 anni</t>
  </si>
  <si>
    <t>Vendita Energia (da 21° anno)</t>
  </si>
  <si>
    <t>CONSUMI</t>
  </si>
  <si>
    <t>Ricavi Vendita Energia (€/kWh)</t>
  </si>
  <si>
    <t>Per calcolo vendita dal 21° anno</t>
  </si>
  <si>
    <t>PV-Xcel 4.4 -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</si>
</sst>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3" borderId="13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5" xfId="0" applyBorder="1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1" fillId="2" borderId="13" xfId="0" applyNumberFormat="1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4.4'!$E$78:$AC$78</c:f>
              <c:numCache>
                <c:formatCode>"€"\ #,##0</c:formatCode>
                <c:ptCount val="25"/>
                <c:pt idx="0">
                  <c:v>-98978.016560000004</c:v>
                </c:pt>
                <c:pt idx="1">
                  <c:v>-87484.632215999998</c:v>
                </c:pt>
                <c:pt idx="2">
                  <c:v>-76058.641422975998</c:v>
                </c:pt>
                <c:pt idx="3">
                  <c:v>-64699.050561005213</c:v>
                </c:pt>
                <c:pt idx="4">
                  <c:v>-53404.867211184894</c:v>
                </c:pt>
                <c:pt idx="5">
                  <c:v>-42175.099989991926</c:v>
                </c:pt>
                <c:pt idx="6">
                  <c:v>-31008.758382036649</c:v>
                </c:pt>
                <c:pt idx="7">
                  <c:v>-19904.852571163265</c:v>
                </c:pt>
                <c:pt idx="8">
                  <c:v>-8862.3932698486406</c:v>
                </c:pt>
                <c:pt idx="9">
                  <c:v>2119.6084531496326</c:v>
                </c:pt>
                <c:pt idx="10">
                  <c:v>13042.141346945915</c:v>
                </c:pt>
                <c:pt idx="11">
                  <c:v>23076.469034530724</c:v>
                </c:pt>
                <c:pt idx="12">
                  <c:v>31749.45179067822</c:v>
                </c:pt>
                <c:pt idx="13">
                  <c:v>40365.932641809544</c:v>
                </c:pt>
                <c:pt idx="14">
                  <c:v>48926.901387865641</c:v>
                </c:pt>
                <c:pt idx="15">
                  <c:v>57433.348546243877</c:v>
                </c:pt>
                <c:pt idx="16">
                  <c:v>65886.265537854095</c:v>
                </c:pt>
                <c:pt idx="17">
                  <c:v>74286.64487535035</c:v>
                </c:pt>
                <c:pt idx="18">
                  <c:v>82635.480353595878</c:v>
                </c:pt>
                <c:pt idx="19">
                  <c:v>90933.767242419664</c:v>
                </c:pt>
                <c:pt idx="20">
                  <c:v>93011.828407180932</c:v>
                </c:pt>
                <c:pt idx="21">
                  <c:v>95137.026795237412</c:v>
                </c:pt>
                <c:pt idx="22">
                  <c:v>97310.305151055043</c:v>
                </c:pt>
                <c:pt idx="23">
                  <c:v>99532.625073989024</c:v>
                </c:pt>
                <c:pt idx="24">
                  <c:v>101804.96739538168</c:v>
                </c:pt>
              </c:numCache>
            </c:numRef>
          </c:val>
        </c:ser>
        <c:axId val="64464384"/>
        <c:axId val="64465920"/>
      </c:barChart>
      <c:catAx>
        <c:axId val="64464384"/>
        <c:scaling>
          <c:orientation val="minMax"/>
        </c:scaling>
        <c:axPos val="b"/>
        <c:tickLblPos val="low"/>
        <c:crossAx val="64465920"/>
        <c:crosses val="autoZero"/>
        <c:auto val="1"/>
        <c:lblAlgn val="ctr"/>
        <c:lblOffset val="100"/>
      </c:catAx>
      <c:valAx>
        <c:axId val="64465920"/>
        <c:scaling>
          <c:orientation val="minMax"/>
        </c:scaling>
        <c:axPos val="l"/>
        <c:majorGridlines/>
        <c:numFmt formatCode="&quot;€&quot;\ #,##0" sourceLinked="1"/>
        <c:tickLblPos val="nextTo"/>
        <c:crossAx val="6446438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4"/>
  <sheetViews>
    <sheetView tabSelected="1" zoomScale="93" zoomScaleNormal="93" workbookViewId="0">
      <selection sqref="A1:G1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201" t="s">
        <v>166</v>
      </c>
      <c r="B1" s="202"/>
      <c r="C1" s="202"/>
      <c r="D1" s="202"/>
      <c r="E1" s="202"/>
      <c r="F1" s="202"/>
      <c r="G1" s="203"/>
    </row>
    <row r="2" spans="1:17" ht="13.5" customHeight="1" thickBot="1"/>
    <row r="3" spans="1:17" ht="16.5" thickBot="1">
      <c r="A3" s="8" t="s">
        <v>140</v>
      </c>
      <c r="B3" s="9"/>
      <c r="C3" s="128">
        <v>48</v>
      </c>
      <c r="D3" s="10" t="s">
        <v>12</v>
      </c>
      <c r="H3" s="135"/>
      <c r="I3" s="21" t="s">
        <v>65</v>
      </c>
      <c r="J3" s="21"/>
      <c r="K3" s="21"/>
      <c r="L3" s="99"/>
      <c r="M3" s="83"/>
      <c r="N3" s="21" t="s">
        <v>66</v>
      </c>
      <c r="O3" s="21"/>
      <c r="P3" s="21"/>
      <c r="Q3" s="21"/>
    </row>
    <row r="4" spans="1:17" ht="16.5" thickBot="1">
      <c r="A4" s="8" t="s">
        <v>139</v>
      </c>
      <c r="B4" s="9"/>
      <c r="C4" s="61">
        <v>15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8"/>
      <c r="K5" s="98"/>
      <c r="L5" s="98"/>
    </row>
    <row r="6" spans="1:17" ht="15.75" customHeight="1">
      <c r="A6" s="13"/>
      <c r="B6" s="14"/>
      <c r="C6" s="14"/>
      <c r="D6" s="14"/>
      <c r="E6" s="15"/>
      <c r="F6" s="16"/>
      <c r="H6" s="100"/>
      <c r="I6" s="101"/>
      <c r="J6" s="102"/>
      <c r="K6" s="102"/>
      <c r="L6" s="103"/>
      <c r="M6" s="15"/>
      <c r="N6" s="15"/>
      <c r="O6" s="16"/>
    </row>
    <row r="7" spans="1:17" ht="15.75">
      <c r="A7" s="178" t="s">
        <v>14</v>
      </c>
      <c r="B7" s="179"/>
      <c r="C7" s="179"/>
      <c r="D7" s="11"/>
      <c r="E7" s="2"/>
      <c r="F7" s="7"/>
      <c r="H7" s="22" t="s">
        <v>93</v>
      </c>
      <c r="I7" s="2"/>
      <c r="J7" s="2"/>
      <c r="K7" s="2"/>
      <c r="L7" s="2"/>
      <c r="M7" s="2"/>
      <c r="N7" s="2"/>
      <c r="O7" s="7"/>
    </row>
    <row r="8" spans="1:17" ht="15.75">
      <c r="A8" s="131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78" t="s">
        <v>13</v>
      </c>
      <c r="B9" s="179"/>
      <c r="C9" s="179"/>
      <c r="D9" s="11"/>
      <c r="E9" s="2"/>
      <c r="F9" s="7"/>
      <c r="H9" s="22" t="s">
        <v>87</v>
      </c>
      <c r="I9" s="2"/>
      <c r="J9" s="2"/>
      <c r="K9" s="136">
        <v>9</v>
      </c>
      <c r="L9" s="2" t="s">
        <v>62</v>
      </c>
      <c r="M9" s="2"/>
      <c r="N9" s="12"/>
      <c r="O9" s="7"/>
    </row>
    <row r="10" spans="1:17" ht="15.75">
      <c r="A10" s="131"/>
      <c r="B10" s="11"/>
      <c r="C10" s="11"/>
      <c r="D10" s="11"/>
      <c r="E10" s="2"/>
      <c r="F10" s="7"/>
      <c r="H10" s="22"/>
      <c r="I10" s="2"/>
      <c r="J10" s="2"/>
      <c r="K10" s="107"/>
      <c r="L10" s="2"/>
      <c r="M10" s="2"/>
      <c r="N10" s="2"/>
      <c r="O10" s="7"/>
    </row>
    <row r="11" spans="1:17" ht="15.75">
      <c r="A11" s="131" t="s">
        <v>123</v>
      </c>
      <c r="B11" s="11"/>
      <c r="C11" s="11"/>
      <c r="D11" s="11"/>
      <c r="E11" s="2"/>
      <c r="F11" s="7"/>
      <c r="H11" s="22"/>
      <c r="I11" s="2"/>
      <c r="J11" s="2"/>
      <c r="K11" s="107"/>
      <c r="L11" s="2"/>
      <c r="M11" s="2"/>
      <c r="N11" s="2"/>
      <c r="O11" s="7"/>
    </row>
    <row r="12" spans="1:17" ht="15.75">
      <c r="A12" s="131"/>
      <c r="B12" s="11"/>
      <c r="C12" s="11"/>
      <c r="D12" s="11"/>
      <c r="E12" s="2"/>
      <c r="F12" s="7"/>
      <c r="H12" s="22"/>
      <c r="I12" s="2"/>
      <c r="J12" s="2"/>
      <c r="K12" s="107"/>
      <c r="L12" s="2"/>
      <c r="M12" s="2"/>
      <c r="N12" s="2"/>
      <c r="O12" s="7"/>
    </row>
    <row r="13" spans="1:17" ht="15.75">
      <c r="A13" s="178" t="s">
        <v>122</v>
      </c>
      <c r="B13" s="179"/>
      <c r="C13" s="179"/>
      <c r="D13" s="11"/>
      <c r="E13" s="2"/>
      <c r="F13" s="7"/>
      <c r="H13" s="22" t="s">
        <v>98</v>
      </c>
      <c r="I13" s="2"/>
      <c r="J13" s="2"/>
      <c r="K13" s="137"/>
      <c r="L13" s="118">
        <v>23</v>
      </c>
      <c r="M13" s="2" t="s">
        <v>62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99</v>
      </c>
      <c r="I14" s="2"/>
      <c r="J14" s="2"/>
      <c r="K14" s="137"/>
      <c r="L14" s="118">
        <v>27</v>
      </c>
      <c r="M14" s="2" t="s">
        <v>62</v>
      </c>
      <c r="N14" s="2"/>
      <c r="O14" s="7"/>
    </row>
    <row r="15" spans="1:17" ht="15.75">
      <c r="A15" s="178" t="s">
        <v>77</v>
      </c>
      <c r="B15" s="179"/>
      <c r="C15" s="179"/>
      <c r="D15" s="11"/>
      <c r="E15" s="2"/>
      <c r="F15" s="7"/>
      <c r="H15" s="22" t="s">
        <v>100</v>
      </c>
      <c r="I15" s="2"/>
      <c r="J15" s="2"/>
      <c r="K15" s="137"/>
      <c r="L15" s="118">
        <v>38</v>
      </c>
      <c r="M15" s="2" t="s">
        <v>62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101</v>
      </c>
      <c r="I16" s="2"/>
      <c r="J16" s="2"/>
      <c r="K16" s="137"/>
      <c r="L16" s="118">
        <v>41</v>
      </c>
      <c r="M16" s="2" t="s">
        <v>62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102</v>
      </c>
      <c r="I17" s="2"/>
      <c r="J17" s="2"/>
      <c r="K17" s="137"/>
      <c r="L17" s="118">
        <v>43</v>
      </c>
      <c r="M17" s="2" t="s">
        <v>62</v>
      </c>
      <c r="N17" s="2"/>
      <c r="O17" s="7"/>
    </row>
    <row r="18" spans="1:19" ht="15.75">
      <c r="A18" s="178" t="s">
        <v>18</v>
      </c>
      <c r="B18" s="179"/>
      <c r="C18" s="179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5" t="s">
        <v>94</v>
      </c>
      <c r="I19" s="2"/>
      <c r="J19" s="2"/>
      <c r="K19" s="118">
        <v>3.9</v>
      </c>
      <c r="L19" s="2" t="s">
        <v>62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5" t="s">
        <v>116</v>
      </c>
      <c r="I21" s="2"/>
      <c r="J21" s="2"/>
      <c r="K21" s="118">
        <v>27.5</v>
      </c>
      <c r="L21" s="2" t="s">
        <v>62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22" t="s">
        <v>22</v>
      </c>
      <c r="E24" s="125" t="s">
        <v>21</v>
      </c>
      <c r="F24" s="30" t="s">
        <v>23</v>
      </c>
      <c r="H24" s="180" t="s">
        <v>97</v>
      </c>
      <c r="I24" s="181"/>
      <c r="J24" s="181"/>
      <c r="K24" s="181"/>
      <c r="L24" s="181"/>
      <c r="M24" s="181"/>
      <c r="N24" s="181"/>
      <c r="O24" s="182"/>
    </row>
    <row r="25" spans="1:19">
      <c r="A25" s="31" t="s">
        <v>19</v>
      </c>
      <c r="B25" s="32"/>
      <c r="C25" s="33"/>
      <c r="D25" s="123">
        <f>E25+F25</f>
        <v>215</v>
      </c>
      <c r="E25" s="126">
        <f>Calcoli!H19+Calcoli!H29+Calcoli!H39+Calcoli!H51+Calcoli!H65+Calcoli!N19+Calcoli!N29+Calcoli!N39+Calcoli!N51+Calcoli!N65+Calcoli!H129+Calcoli!H139+Calcoli!H149+Calcoli!H161+Calcoli!H175+Calcoli!H187+Calcoli!H194+Calcoli!H202+Calcoli!H210+Calcoli!H218</f>
        <v>175</v>
      </c>
      <c r="F25" s="34">
        <f>IF(Calcoli!$H$9&lt;3,Calcoli!$R$27,0)</f>
        <v>40</v>
      </c>
      <c r="H25" s="183"/>
      <c r="I25" s="184"/>
      <c r="J25" s="184"/>
      <c r="K25" s="184"/>
      <c r="L25" s="184"/>
      <c r="M25" s="184"/>
      <c r="N25" s="184"/>
      <c r="O25" s="185"/>
    </row>
    <row r="26" spans="1:19" ht="15.75" thickBot="1">
      <c r="A26" s="38" t="s">
        <v>20</v>
      </c>
      <c r="B26" s="39"/>
      <c r="C26" s="40"/>
      <c r="D26" s="124">
        <f>E26+F26</f>
        <v>133</v>
      </c>
      <c r="E26" s="127">
        <f>Calcoli!I19+Calcoli!I29+Calcoli!I39+Calcoli!I51+Calcoli!I65+Calcoli!O19+Calcoli!O29+Calcoli!O39+Calcoli!O51+Calcoli!O65+Calcoli!I129+Calcoli!I139+Calcoli!I149+Calcoli!I161+Calcoli!I175+Calcoli!I187+Calcoli!I194+Calcoli!I202+Calcoli!I210+Calcoli!I218</f>
        <v>93</v>
      </c>
      <c r="F26" s="41">
        <f>IF(Calcoli!$H$9&lt;3,Calcoli!$R$27,0)</f>
        <v>40</v>
      </c>
    </row>
    <row r="27" spans="1:19" ht="12.75" customHeight="1">
      <c r="A27" s="43"/>
      <c r="B27" s="2"/>
      <c r="C27" s="2"/>
      <c r="D27" s="44"/>
      <c r="E27" s="133"/>
      <c r="F27" s="133"/>
      <c r="S27" s="104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4"/>
    </row>
    <row r="29" spans="1:19" s="46" customFormat="1" ht="22.5" customHeight="1">
      <c r="A29" s="74" t="s">
        <v>36</v>
      </c>
      <c r="B29" s="138"/>
      <c r="C29" s="110">
        <v>1200</v>
      </c>
      <c r="D29" s="45" t="s">
        <v>64</v>
      </c>
      <c r="E29" s="69"/>
      <c r="F29" s="97" t="s">
        <v>25</v>
      </c>
      <c r="G29" s="96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11">
        <f>$C$3*C29</f>
        <v>57600</v>
      </c>
      <c r="D30" s="86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10">
        <v>10000</v>
      </c>
      <c r="D31" s="86" t="s">
        <v>24</v>
      </c>
      <c r="E31" s="93" t="s">
        <v>79</v>
      </c>
      <c r="F31" s="93"/>
      <c r="G31" s="93"/>
      <c r="H31" s="93"/>
      <c r="I31" s="86"/>
      <c r="J31" s="11"/>
      <c r="K31" s="77"/>
    </row>
    <row r="32" spans="1:19" s="50" customFormat="1" ht="15.75">
      <c r="A32" s="76"/>
      <c r="B32" s="11"/>
      <c r="C32" s="141"/>
      <c r="D32" s="132"/>
      <c r="E32" s="132"/>
      <c r="F32" s="132"/>
      <c r="G32" s="132"/>
      <c r="H32" s="132"/>
      <c r="I32" s="132"/>
      <c r="J32" s="11"/>
      <c r="K32" s="77"/>
    </row>
    <row r="33" spans="1:11" s="46" customFormat="1" ht="22.5" customHeight="1">
      <c r="A33" s="74" t="s">
        <v>28</v>
      </c>
      <c r="B33" s="138"/>
      <c r="C33" s="112">
        <f>Calcoli!S55</f>
        <v>5000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11">
        <f>IF(Calcoli!Q49=1,C30-C33,C30)</f>
        <v>52600</v>
      </c>
      <c r="D34" s="86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11">
        <f>IF(Calcoli!Q49=1,C31-C33,0)</f>
        <v>5000</v>
      </c>
      <c r="D35" s="86" t="s">
        <v>24</v>
      </c>
      <c r="E35" s="11"/>
      <c r="F35" s="166" t="s">
        <v>115</v>
      </c>
      <c r="G35" s="167"/>
      <c r="H35" s="168"/>
      <c r="I35" s="190">
        <f>C3*C37</f>
        <v>88128</v>
      </c>
      <c r="J35" s="191"/>
      <c r="K35" s="77"/>
    </row>
    <row r="36" spans="1:11" s="50" customFormat="1" ht="16.5" thickBot="1">
      <c r="A36" s="78"/>
      <c r="B36" s="11"/>
      <c r="C36" s="107"/>
      <c r="D36" s="86"/>
      <c r="E36" s="11"/>
      <c r="F36" s="169" t="s">
        <v>144</v>
      </c>
      <c r="G36" s="70"/>
      <c r="H36" s="164"/>
      <c r="I36" s="186">
        <f>C42+C43</f>
        <v>21175</v>
      </c>
      <c r="J36" s="187"/>
      <c r="K36" s="77"/>
    </row>
    <row r="37" spans="1:11" s="50" customFormat="1" ht="16.5" thickBot="1">
      <c r="A37" s="78" t="s">
        <v>31</v>
      </c>
      <c r="B37" s="11"/>
      <c r="C37" s="130">
        <v>1836</v>
      </c>
      <c r="D37" s="86" t="s">
        <v>32</v>
      </c>
      <c r="E37" s="165"/>
      <c r="F37" s="172"/>
      <c r="G37" s="170" t="s">
        <v>22</v>
      </c>
      <c r="H37" s="171"/>
      <c r="I37" s="188">
        <f>SUM(I35:J36)</f>
        <v>109303</v>
      </c>
      <c r="J37" s="189"/>
      <c r="K37" s="77"/>
    </row>
    <row r="38" spans="1:11" s="50" customFormat="1" ht="16.5" thickBot="1">
      <c r="A38" s="78" t="s">
        <v>33</v>
      </c>
      <c r="B38" s="11"/>
      <c r="C38" s="110">
        <v>150</v>
      </c>
      <c r="D38" s="86" t="s">
        <v>32</v>
      </c>
      <c r="E38" s="165"/>
      <c r="F38" s="116"/>
      <c r="G38" s="115"/>
      <c r="H38" s="177"/>
      <c r="I38" s="177"/>
      <c r="J38" s="115"/>
      <c r="K38" s="77"/>
    </row>
    <row r="39" spans="1:11" s="50" customFormat="1" ht="15.75">
      <c r="A39" s="78" t="s">
        <v>84</v>
      </c>
      <c r="B39" s="11"/>
      <c r="C39" s="113">
        <v>2</v>
      </c>
      <c r="D39" s="86" t="s">
        <v>62</v>
      </c>
      <c r="E39" s="116"/>
      <c r="F39" s="166" t="s">
        <v>160</v>
      </c>
      <c r="G39" s="173"/>
      <c r="H39" s="173"/>
      <c r="I39" s="190">
        <f>X78</f>
        <v>90933.767242419664</v>
      </c>
      <c r="J39" s="192"/>
      <c r="K39" s="77"/>
    </row>
    <row r="40" spans="1:11" s="50" customFormat="1" ht="16.5" thickBot="1">
      <c r="A40" s="78" t="s">
        <v>80</v>
      </c>
      <c r="B40" s="11"/>
      <c r="C40" s="111">
        <f>IF(C3&lt;20,C3*3,60+((C3-20)*2))</f>
        <v>116</v>
      </c>
      <c r="D40" s="86" t="s">
        <v>32</v>
      </c>
      <c r="E40" s="11"/>
      <c r="F40" s="174" t="s">
        <v>161</v>
      </c>
      <c r="G40" s="170"/>
      <c r="H40" s="170"/>
      <c r="I40" s="175">
        <f>AC78</f>
        <v>101804.96739538168</v>
      </c>
      <c r="J40" s="176"/>
      <c r="K40" s="77"/>
    </row>
    <row r="41" spans="1:11" s="50" customFormat="1" ht="15.75">
      <c r="A41" s="78" t="s">
        <v>81</v>
      </c>
      <c r="B41" s="11"/>
      <c r="C41" s="139">
        <f>0.0005*C30</f>
        <v>28.8</v>
      </c>
      <c r="D41" s="86" t="s">
        <v>32</v>
      </c>
      <c r="E41" s="116"/>
      <c r="F41" s="116"/>
      <c r="G41" s="116"/>
      <c r="H41" s="116"/>
      <c r="I41" s="116"/>
      <c r="J41" s="11"/>
      <c r="K41" s="77"/>
    </row>
    <row r="42" spans="1:11" s="50" customFormat="1" ht="15.75">
      <c r="A42" s="78" t="s">
        <v>142</v>
      </c>
      <c r="B42" s="11"/>
      <c r="C42" s="111">
        <f>IF(Calcoli!O77&lt;0,Calcoli!P77,(C3-C4)*55+Calcoli!P77)</f>
        <v>1935</v>
      </c>
      <c r="D42" s="86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143</v>
      </c>
      <c r="B43" s="11"/>
      <c r="C43" s="110">
        <v>19240</v>
      </c>
      <c r="D43" s="86" t="s">
        <v>32</v>
      </c>
      <c r="E43" s="55" t="s">
        <v>137</v>
      </c>
      <c r="F43" s="11"/>
      <c r="G43" s="11"/>
      <c r="H43" s="11"/>
      <c r="I43" s="11"/>
      <c r="J43" s="11"/>
      <c r="K43" s="77"/>
    </row>
    <row r="44" spans="1:11" s="50" customFormat="1" ht="15.75">
      <c r="A44" s="78" t="s">
        <v>37</v>
      </c>
      <c r="B44" s="11"/>
      <c r="C44" s="110">
        <v>100</v>
      </c>
      <c r="D44" s="86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8" t="s">
        <v>34</v>
      </c>
      <c r="B45" s="11"/>
      <c r="C45" s="114">
        <v>0.18</v>
      </c>
      <c r="D45" s="86" t="s">
        <v>32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164</v>
      </c>
      <c r="B46" s="11"/>
      <c r="C46" s="114">
        <v>0.12</v>
      </c>
      <c r="D46" s="86" t="s">
        <v>32</v>
      </c>
      <c r="E46" s="55" t="s">
        <v>165</v>
      </c>
      <c r="F46" s="11"/>
      <c r="G46" s="11"/>
      <c r="H46" s="11"/>
      <c r="I46" s="11"/>
      <c r="J46" s="11"/>
      <c r="K46" s="77"/>
    </row>
    <row r="47" spans="1:11" s="50" customFormat="1" ht="15.75">
      <c r="A47" s="78" t="s">
        <v>83</v>
      </c>
      <c r="B47" s="11"/>
      <c r="C47" s="113">
        <v>0.9</v>
      </c>
      <c r="D47" s="86" t="s">
        <v>62</v>
      </c>
      <c r="E47" s="55" t="s">
        <v>114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63</v>
      </c>
      <c r="B48" s="11"/>
      <c r="C48" s="113">
        <v>6</v>
      </c>
      <c r="D48" s="86" t="s">
        <v>62</v>
      </c>
      <c r="E48" s="55" t="s">
        <v>85</v>
      </c>
      <c r="F48" s="11"/>
      <c r="G48" s="11"/>
      <c r="H48" s="11"/>
      <c r="I48" s="11"/>
      <c r="J48" s="11"/>
      <c r="K48" s="77"/>
    </row>
    <row r="49" spans="1:29" s="50" customFormat="1" ht="9" customHeight="1">
      <c r="A49" s="79"/>
      <c r="B49" s="80"/>
      <c r="C49" s="140"/>
      <c r="D49" s="81"/>
      <c r="E49" s="94"/>
      <c r="F49" s="80"/>
      <c r="G49" s="80"/>
      <c r="H49" s="80"/>
      <c r="I49" s="80"/>
      <c r="J49" s="80"/>
      <c r="K49" s="82"/>
    </row>
    <row r="51" spans="1:29">
      <c r="A51" s="60"/>
      <c r="B51" s="60"/>
      <c r="C51" s="60"/>
      <c r="D51" s="60"/>
      <c r="E51" s="134" t="s">
        <v>40</v>
      </c>
      <c r="F51" s="134" t="s">
        <v>43</v>
      </c>
      <c r="G51" s="134" t="s">
        <v>44</v>
      </c>
      <c r="H51" s="134" t="s">
        <v>45</v>
      </c>
      <c r="I51" s="134" t="s">
        <v>46</v>
      </c>
      <c r="J51" s="134" t="s">
        <v>47</v>
      </c>
      <c r="K51" s="134" t="s">
        <v>48</v>
      </c>
      <c r="L51" s="134" t="s">
        <v>49</v>
      </c>
      <c r="M51" s="134" t="s">
        <v>50</v>
      </c>
      <c r="N51" s="134" t="s">
        <v>51</v>
      </c>
      <c r="O51" s="134" t="s">
        <v>52</v>
      </c>
      <c r="P51" s="134" t="s">
        <v>53</v>
      </c>
      <c r="Q51" s="134" t="s">
        <v>54</v>
      </c>
      <c r="R51" s="134" t="s">
        <v>55</v>
      </c>
      <c r="S51" s="134" t="s">
        <v>56</v>
      </c>
      <c r="T51" s="134" t="s">
        <v>57</v>
      </c>
      <c r="U51" s="134" t="s">
        <v>58</v>
      </c>
      <c r="V51" s="134" t="s">
        <v>59</v>
      </c>
      <c r="W51" s="134" t="s">
        <v>60</v>
      </c>
      <c r="X51" s="134" t="s">
        <v>61</v>
      </c>
      <c r="Y51" s="163" t="s">
        <v>154</v>
      </c>
      <c r="Z51" s="163" t="s">
        <v>155</v>
      </c>
      <c r="AA51" s="163" t="s">
        <v>156</v>
      </c>
      <c r="AB51" s="163" t="s">
        <v>157</v>
      </c>
      <c r="AC51" s="163" t="s">
        <v>158</v>
      </c>
    </row>
    <row r="52" spans="1:29">
      <c r="A52" s="60"/>
      <c r="B52" s="60"/>
      <c r="C52" s="60"/>
      <c r="D52" s="60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62" t="s">
        <v>103</v>
      </c>
      <c r="B53" s="60"/>
      <c r="C53" s="60"/>
      <c r="D53" s="60"/>
      <c r="E53" s="153">
        <f>C30</f>
        <v>57600</v>
      </c>
      <c r="F53" s="153">
        <f t="shared" ref="F53" si="0">E53/100*(100-$C$47)</f>
        <v>57081.599999999999</v>
      </c>
      <c r="G53" s="153">
        <f t="shared" ref="G53" si="1">F53/100*(100-$C$47)</f>
        <v>56567.865599999997</v>
      </c>
      <c r="H53" s="153">
        <f t="shared" ref="H53" si="2">G53/100*(100-$C$47)</f>
        <v>56058.754809599988</v>
      </c>
      <c r="I53" s="153">
        <f t="shared" ref="I53" si="3">H53/100*(100-$C$47)</f>
        <v>55554.22601631358</v>
      </c>
      <c r="J53" s="153">
        <f t="shared" ref="J53" si="4">I53/100*(100-$C$47)</f>
        <v>55054.237982166749</v>
      </c>
      <c r="K53" s="153">
        <f t="shared" ref="K53" si="5">J53/100*(100-$C$47)</f>
        <v>54558.749840327248</v>
      </c>
      <c r="L53" s="153">
        <f t="shared" ref="L53" si="6">K53/100*(100-$C$47)</f>
        <v>54067.721091764295</v>
      </c>
      <c r="M53" s="153">
        <f t="shared" ref="M53" si="7">L53/100*(100-$C$47)</f>
        <v>53581.111601938414</v>
      </c>
      <c r="N53" s="153">
        <f t="shared" ref="N53" si="8">M53/100*(100-$C$47)</f>
        <v>53098.881597520965</v>
      </c>
      <c r="O53" s="153">
        <f t="shared" ref="O53" si="9">N53/100*(100-$C$47)</f>
        <v>52620.991663143272</v>
      </c>
      <c r="P53" s="153">
        <f t="shared" ref="P53" si="10">O53/100*(100-$C$47)</f>
        <v>52147.402738174984</v>
      </c>
      <c r="Q53" s="153">
        <f t="shared" ref="Q53" si="11">P53/100*(100-$C$47)</f>
        <v>51678.076113531402</v>
      </c>
      <c r="R53" s="153">
        <f t="shared" ref="R53" si="12">Q53/100*(100-$C$47)</f>
        <v>51212.97342850962</v>
      </c>
      <c r="S53" s="153">
        <f t="shared" ref="S53" si="13">R53/100*(100-$C$47)</f>
        <v>50752.056667653029</v>
      </c>
      <c r="T53" s="153">
        <f t="shared" ref="T53" si="14">S53/100*(100-$C$47)</f>
        <v>50295.28815764415</v>
      </c>
      <c r="U53" s="153">
        <f t="shared" ref="U53" si="15">T53/100*(100-$C$47)</f>
        <v>49842.63056422535</v>
      </c>
      <c r="V53" s="153">
        <f t="shared" ref="V53" si="16">U53/100*(100-$C$47)</f>
        <v>49394.046889147321</v>
      </c>
      <c r="W53" s="153">
        <f t="shared" ref="W53" si="17">V53/100*(100-$C$47)</f>
        <v>48949.500467144993</v>
      </c>
      <c r="X53" s="153">
        <f t="shared" ref="X53" si="18">W53/100*(100-$C$47)</f>
        <v>48508.954962940683</v>
      </c>
      <c r="Y53" s="153">
        <f t="shared" ref="Y53" si="19">X53/100*(100-$C$47)</f>
        <v>48072.374368274213</v>
      </c>
      <c r="Z53" s="153">
        <f t="shared" ref="Z53" si="20">Y53/100*(100-$C$47)</f>
        <v>47639.72299895974</v>
      </c>
      <c r="AA53" s="153">
        <f t="shared" ref="AA53" si="21">Z53/100*(100-$C$47)</f>
        <v>47210.965491969102</v>
      </c>
      <c r="AB53" s="153">
        <f t="shared" ref="AB53" si="22">AA53/100*(100-$C$47)</f>
        <v>46786.066802541376</v>
      </c>
      <c r="AC53" s="153">
        <f t="shared" ref="AC53" si="23">AB53/100*(100-$C$47)</f>
        <v>46364.992201318499</v>
      </c>
    </row>
    <row r="54" spans="1:29" ht="15.75">
      <c r="A54" s="62" t="s">
        <v>28</v>
      </c>
      <c r="B54" s="60"/>
      <c r="C54" s="60"/>
      <c r="D54" s="60"/>
      <c r="E54" s="153">
        <f>$C$33</f>
        <v>5000</v>
      </c>
      <c r="F54" s="153">
        <f t="shared" ref="F54" si="24">E54+(E54/100*$C$39)</f>
        <v>5100</v>
      </c>
      <c r="G54" s="153">
        <f t="shared" ref="G54" si="25">F54+(F54/100*$C$39)</f>
        <v>5202</v>
      </c>
      <c r="H54" s="153">
        <f t="shared" ref="H54" si="26">G54+(G54/100*$C$39)</f>
        <v>5306.04</v>
      </c>
      <c r="I54" s="153">
        <f t="shared" ref="I54" si="27">H54+(H54/100*$C$39)</f>
        <v>5412.1607999999997</v>
      </c>
      <c r="J54" s="153">
        <f t="shared" ref="J54" si="28">I54+(I54/100*$C$39)</f>
        <v>5520.4040159999995</v>
      </c>
      <c r="K54" s="153">
        <f t="shared" ref="K54" si="29">J54+(J54/100*$C$39)</f>
        <v>5630.8120963199999</v>
      </c>
      <c r="L54" s="153">
        <f t="shared" ref="L54" si="30">K54+(K54/100*$C$39)</f>
        <v>5743.4283382464</v>
      </c>
      <c r="M54" s="153">
        <f t="shared" ref="M54" si="31">L54+(L54/100*$C$39)</f>
        <v>5858.2969050113279</v>
      </c>
      <c r="N54" s="153">
        <f t="shared" ref="N54" si="32">M54+(M54/100*$C$39)</f>
        <v>5975.4628431115543</v>
      </c>
      <c r="O54" s="153">
        <f t="shared" ref="O54" si="33">N54+(N54/100*$C$39)</f>
        <v>6094.9720999737856</v>
      </c>
      <c r="P54" s="153">
        <f t="shared" ref="P54" si="34">O54+(O54/100*$C$39)</f>
        <v>6216.8715419732616</v>
      </c>
      <c r="Q54" s="153">
        <f t="shared" ref="Q54" si="35">P54+(P54/100*$C$39)</f>
        <v>6341.2089728127266</v>
      </c>
      <c r="R54" s="153">
        <f t="shared" ref="R54" si="36">Q54+(Q54/100*$C$39)</f>
        <v>6468.0331522689812</v>
      </c>
      <c r="S54" s="153">
        <f t="shared" ref="S54" si="37">R54+(R54/100*$C$39)</f>
        <v>6597.3938153143608</v>
      </c>
      <c r="T54" s="153">
        <f t="shared" ref="T54" si="38">S54+(S54/100*$C$39)</f>
        <v>6729.3416916206479</v>
      </c>
      <c r="U54" s="153">
        <f t="shared" ref="U54" si="39">T54+(T54/100*$C$39)</f>
        <v>6863.9285254530605</v>
      </c>
      <c r="V54" s="153">
        <f t="shared" ref="V54" si="40">U54+(U54/100*$C$39)</f>
        <v>7001.2070959621215</v>
      </c>
      <c r="W54" s="153">
        <f t="shared" ref="W54" si="41">V54+(V54/100*$C$39)</f>
        <v>7141.231237881364</v>
      </c>
      <c r="X54" s="153">
        <f t="shared" ref="X54" si="42">W54+(W54/100*$C$39)</f>
        <v>7284.0558626389911</v>
      </c>
      <c r="Y54" s="153">
        <f t="shared" ref="Y54" si="43">X54+(X54/100*$C$39)</f>
        <v>7429.7369798917707</v>
      </c>
      <c r="Z54" s="153">
        <f t="shared" ref="Z54" si="44">Y54+(Y54/100*$C$39)</f>
        <v>7578.3317194896063</v>
      </c>
      <c r="AA54" s="153">
        <f t="shared" ref="AA54" si="45">Z54+(Z54/100*$C$39)</f>
        <v>7729.8983538793982</v>
      </c>
      <c r="AB54" s="153">
        <f t="shared" ref="AB54" si="46">AA54+(AA54/100*$C$39)</f>
        <v>7884.496320956986</v>
      </c>
      <c r="AC54" s="153">
        <f t="shared" ref="AC54" si="47">AB54+(AB54/100*$C$39)</f>
        <v>8042.1862473761257</v>
      </c>
    </row>
    <row r="55" spans="1:29" ht="15.75">
      <c r="A55" s="62" t="s">
        <v>38</v>
      </c>
      <c r="B55" s="60"/>
      <c r="C55" s="60"/>
      <c r="D55" s="60"/>
      <c r="E55" s="153">
        <f>IF((E53-E54)&lt;0,0,E53-E54)</f>
        <v>52600</v>
      </c>
      <c r="F55" s="153">
        <f t="shared" ref="F55:X55" si="48">IF((F53-F54)&lt;0,0,F53-F54)</f>
        <v>51981.599999999999</v>
      </c>
      <c r="G55" s="153">
        <f t="shared" si="48"/>
        <v>51365.865599999997</v>
      </c>
      <c r="H55" s="153">
        <f t="shared" si="48"/>
        <v>50752.714809599987</v>
      </c>
      <c r="I55" s="153">
        <f t="shared" si="48"/>
        <v>50142.065216313582</v>
      </c>
      <c r="J55" s="153">
        <f t="shared" si="48"/>
        <v>49533.833966166749</v>
      </c>
      <c r="K55" s="153">
        <f t="shared" si="48"/>
        <v>48927.937744007249</v>
      </c>
      <c r="L55" s="153">
        <f t="shared" si="48"/>
        <v>48324.292753517897</v>
      </c>
      <c r="M55" s="153">
        <f t="shared" si="48"/>
        <v>47722.814696927089</v>
      </c>
      <c r="N55" s="153">
        <f t="shared" si="48"/>
        <v>47123.418754409409</v>
      </c>
      <c r="O55" s="153">
        <f t="shared" si="48"/>
        <v>46526.019563169488</v>
      </c>
      <c r="P55" s="153">
        <f t="shared" si="48"/>
        <v>45930.531196201722</v>
      </c>
      <c r="Q55" s="153">
        <f t="shared" si="48"/>
        <v>45336.867140718678</v>
      </c>
      <c r="R55" s="153">
        <f t="shared" si="48"/>
        <v>44744.940276240639</v>
      </c>
      <c r="S55" s="153">
        <f t="shared" si="48"/>
        <v>44154.662852338668</v>
      </c>
      <c r="T55" s="153">
        <f t="shared" si="48"/>
        <v>43565.946466023503</v>
      </c>
      <c r="U55" s="153">
        <f t="shared" si="48"/>
        <v>42978.702038772288</v>
      </c>
      <c r="V55" s="153">
        <f t="shared" si="48"/>
        <v>42392.839793185201</v>
      </c>
      <c r="W55" s="153">
        <f t="shared" si="48"/>
        <v>41808.269229263627</v>
      </c>
      <c r="X55" s="153">
        <f t="shared" si="48"/>
        <v>41224.899100301693</v>
      </c>
      <c r="Y55" s="153">
        <f t="shared" ref="Y55:AC55" si="49">IF((Y53-Y54)&lt;0,0,Y53-Y54)</f>
        <v>40642.637388382442</v>
      </c>
      <c r="Z55" s="153">
        <f t="shared" si="49"/>
        <v>40061.391279470132</v>
      </c>
      <c r="AA55" s="153">
        <f t="shared" si="49"/>
        <v>39481.067138089704</v>
      </c>
      <c r="AB55" s="153">
        <f t="shared" si="49"/>
        <v>38901.570481584393</v>
      </c>
      <c r="AC55" s="153">
        <f t="shared" si="49"/>
        <v>38322.80595394237</v>
      </c>
    </row>
    <row r="56" spans="1:29" ht="11.25" customHeight="1">
      <c r="A56" s="62"/>
      <c r="B56" s="60"/>
      <c r="C56" s="60"/>
      <c r="D56" s="60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155" t="s">
        <v>145</v>
      </c>
      <c r="B57" s="156"/>
      <c r="C57" s="156"/>
      <c r="D57" s="60"/>
      <c r="E57" s="148">
        <f>$D$25*E55/1000</f>
        <v>11309</v>
      </c>
      <c r="F57" s="148">
        <f t="shared" ref="F57:X57" si="50">$D$25*F55/1000</f>
        <v>11176.044</v>
      </c>
      <c r="G57" s="148">
        <f t="shared" si="50"/>
        <v>11043.661104000001</v>
      </c>
      <c r="H57" s="148">
        <f t="shared" si="50"/>
        <v>10911.833684063997</v>
      </c>
      <c r="I57" s="148">
        <f t="shared" si="50"/>
        <v>10780.54402150742</v>
      </c>
      <c r="J57" s="148">
        <f t="shared" si="50"/>
        <v>10649.774302725851</v>
      </c>
      <c r="K57" s="148">
        <f t="shared" si="50"/>
        <v>10519.50661496156</v>
      </c>
      <c r="L57" s="148">
        <f t="shared" si="50"/>
        <v>10389.722942006349</v>
      </c>
      <c r="M57" s="148">
        <f t="shared" si="50"/>
        <v>10260.405159839325</v>
      </c>
      <c r="N57" s="148">
        <f t="shared" si="50"/>
        <v>10131.535032198022</v>
      </c>
      <c r="O57" s="148">
        <f t="shared" si="50"/>
        <v>10003.094206081441</v>
      </c>
      <c r="P57" s="148">
        <f t="shared" si="50"/>
        <v>9875.0642071833699</v>
      </c>
      <c r="Q57" s="148">
        <f t="shared" si="50"/>
        <v>9747.426435254516</v>
      </c>
      <c r="R57" s="148">
        <f t="shared" si="50"/>
        <v>9620.1621593917371</v>
      </c>
      <c r="S57" s="148">
        <f t="shared" si="50"/>
        <v>9493.2525132528135</v>
      </c>
      <c r="T57" s="148">
        <f t="shared" si="50"/>
        <v>9366.6784901950523</v>
      </c>
      <c r="U57" s="148">
        <f t="shared" si="50"/>
        <v>9240.420938336043</v>
      </c>
      <c r="V57" s="148">
        <f t="shared" si="50"/>
        <v>9114.4605555348189</v>
      </c>
      <c r="W57" s="148">
        <f t="shared" si="50"/>
        <v>8988.7778842916814</v>
      </c>
      <c r="X57" s="148">
        <f t="shared" si="50"/>
        <v>8863.3533065648644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</row>
    <row r="58" spans="1:29" ht="15.75">
      <c r="A58" s="155" t="s">
        <v>146</v>
      </c>
      <c r="B58" s="156"/>
      <c r="C58" s="156"/>
      <c r="D58" s="60"/>
      <c r="E58" s="148">
        <f>$D$26*E54/1000</f>
        <v>665</v>
      </c>
      <c r="F58" s="148">
        <f t="shared" ref="F58:X58" si="51">$D$26*F54/1000</f>
        <v>678.3</v>
      </c>
      <c r="G58" s="148">
        <f t="shared" si="51"/>
        <v>691.86599999999999</v>
      </c>
      <c r="H58" s="148">
        <f t="shared" si="51"/>
        <v>705.70331999999996</v>
      </c>
      <c r="I58" s="148">
        <f t="shared" si="51"/>
        <v>719.81738639999992</v>
      </c>
      <c r="J58" s="148">
        <f t="shared" si="51"/>
        <v>734.21373412799994</v>
      </c>
      <c r="K58" s="148">
        <f t="shared" si="51"/>
        <v>748.89800881055999</v>
      </c>
      <c r="L58" s="148">
        <f t="shared" si="51"/>
        <v>763.87596898677123</v>
      </c>
      <c r="M58" s="148">
        <f t="shared" si="51"/>
        <v>779.15348836650662</v>
      </c>
      <c r="N58" s="148">
        <f t="shared" si="51"/>
        <v>794.73655813383675</v>
      </c>
      <c r="O58" s="148">
        <f t="shared" si="51"/>
        <v>810.6312892965135</v>
      </c>
      <c r="P58" s="148">
        <f t="shared" si="51"/>
        <v>826.84391508244369</v>
      </c>
      <c r="Q58" s="148">
        <f t="shared" si="51"/>
        <v>843.38079338409261</v>
      </c>
      <c r="R58" s="148">
        <f t="shared" si="51"/>
        <v>860.24840925177455</v>
      </c>
      <c r="S58" s="148">
        <f t="shared" si="51"/>
        <v>877.45337743680989</v>
      </c>
      <c r="T58" s="148">
        <f t="shared" si="51"/>
        <v>895.00244498554616</v>
      </c>
      <c r="U58" s="148">
        <f t="shared" si="51"/>
        <v>912.90249388525706</v>
      </c>
      <c r="V58" s="148">
        <f t="shared" si="51"/>
        <v>931.16054376296211</v>
      </c>
      <c r="W58" s="148">
        <f t="shared" si="51"/>
        <v>949.78375463822147</v>
      </c>
      <c r="X58" s="148">
        <f t="shared" si="51"/>
        <v>968.77942973098573</v>
      </c>
      <c r="Y58" s="148">
        <v>0</v>
      </c>
      <c r="Z58" s="148">
        <v>0</v>
      </c>
      <c r="AA58" s="148">
        <v>0</v>
      </c>
      <c r="AB58" s="148">
        <v>0</v>
      </c>
      <c r="AC58" s="148">
        <v>0</v>
      </c>
    </row>
    <row r="59" spans="1:29" ht="15.75">
      <c r="A59" s="155" t="s">
        <v>159</v>
      </c>
      <c r="B59" s="156"/>
      <c r="C59" s="156"/>
      <c r="D59" s="60"/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T59" s="148">
        <v>0</v>
      </c>
      <c r="U59" s="148">
        <v>0</v>
      </c>
      <c r="V59" s="148">
        <v>0</v>
      </c>
      <c r="W59" s="148">
        <v>0</v>
      </c>
      <c r="X59" s="148">
        <v>0</v>
      </c>
      <c r="Y59" s="148">
        <f>IF(Calcoli!$Q$49=1,(Calcoli!W223-'Simulazione 4.4'!Y54)*$C$45,0)</f>
        <v>1284.9074541695181</v>
      </c>
      <c r="Z59" s="148">
        <f>IF(Calcoli!$Q$49=1,(Calcoli!X223-'Simulazione 4.4'!Z54)*$C$45,0)</f>
        <v>1310.6056032529084</v>
      </c>
      <c r="AA59" s="148">
        <f>IF(Calcoli!$Q$49=1,(Calcoli!Y223-'Simulazione 4.4'!AA54)*$C$45,0)</f>
        <v>1336.8177153179665</v>
      </c>
      <c r="AB59" s="148">
        <f>IF(Calcoli!$Q$49=1,(Calcoli!Z223-'Simulazione 4.4'!AB54)*$C$45,0)</f>
        <v>1363.5540696243258</v>
      </c>
      <c r="AC59" s="148">
        <f>IF(Calcoli!$Q$49=1,(Calcoli!AA223-'Simulazione 4.4'!AC54)*$C$45,0)</f>
        <v>1390.8251510168122</v>
      </c>
    </row>
    <row r="60" spans="1:29" ht="15.75">
      <c r="A60" s="155" t="s">
        <v>162</v>
      </c>
      <c r="B60" s="156"/>
      <c r="C60" s="156"/>
      <c r="D60" s="60"/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48">
        <v>0</v>
      </c>
      <c r="U60" s="148">
        <v>0</v>
      </c>
      <c r="V60" s="148">
        <v>0</v>
      </c>
      <c r="W60" s="148">
        <v>0</v>
      </c>
      <c r="X60" s="148">
        <v>0</v>
      </c>
      <c r="Y60" s="148">
        <f>IF(Calcoli!$Q$49=2,Y55*$C$46,0)</f>
        <v>0</v>
      </c>
      <c r="Z60" s="148">
        <f>IF(Calcoli!$Q$49=2,Z55*$C$46,0)</f>
        <v>0</v>
      </c>
      <c r="AA60" s="148">
        <f>IF(Calcoli!$Q$49=2,AA55*$C$46,0)</f>
        <v>0</v>
      </c>
      <c r="AB60" s="148">
        <f>IF(Calcoli!$Q$49=2,AB55*$C$46,0)</f>
        <v>0</v>
      </c>
      <c r="AC60" s="148">
        <f>IF(Calcoli!$Q$49=2,AC55*$C$46,0)</f>
        <v>0</v>
      </c>
    </row>
    <row r="61" spans="1:29" ht="16.5" thickBot="1">
      <c r="A61" s="157" t="s">
        <v>39</v>
      </c>
      <c r="B61" s="158"/>
      <c r="C61" s="158"/>
      <c r="D61" s="60"/>
      <c r="E61" s="150">
        <f>E54*C45</f>
        <v>900</v>
      </c>
      <c r="F61" s="150">
        <f t="shared" ref="F61:X61" si="52">($C$45*F54)+(($C$45*F54)/100*$C$48)</f>
        <v>973.08</v>
      </c>
      <c r="G61" s="150">
        <f t="shared" si="52"/>
        <v>992.54160000000002</v>
      </c>
      <c r="H61" s="150">
        <f t="shared" si="52"/>
        <v>1012.392432</v>
      </c>
      <c r="I61" s="150">
        <f t="shared" si="52"/>
        <v>1032.6402806399999</v>
      </c>
      <c r="J61" s="150">
        <f t="shared" si="52"/>
        <v>1053.2930862527999</v>
      </c>
      <c r="K61" s="150">
        <f t="shared" si="52"/>
        <v>1074.3589479778559</v>
      </c>
      <c r="L61" s="150">
        <f t="shared" si="52"/>
        <v>1095.8461269374131</v>
      </c>
      <c r="M61" s="150">
        <f t="shared" si="52"/>
        <v>1117.7630494761613</v>
      </c>
      <c r="N61" s="150">
        <f t="shared" si="52"/>
        <v>1140.1183104656845</v>
      </c>
      <c r="O61" s="150">
        <f t="shared" si="52"/>
        <v>1162.9206766749983</v>
      </c>
      <c r="P61" s="150">
        <f t="shared" si="52"/>
        <v>1186.1790902084981</v>
      </c>
      <c r="Q61" s="150">
        <f t="shared" si="52"/>
        <v>1209.9026720126681</v>
      </c>
      <c r="R61" s="150">
        <f t="shared" si="52"/>
        <v>1234.1007254529216</v>
      </c>
      <c r="S61" s="150">
        <f t="shared" si="52"/>
        <v>1258.78273996198</v>
      </c>
      <c r="T61" s="150">
        <f t="shared" si="52"/>
        <v>1283.9583947612196</v>
      </c>
      <c r="U61" s="150">
        <f t="shared" si="52"/>
        <v>1309.6375626564438</v>
      </c>
      <c r="V61" s="150">
        <f t="shared" si="52"/>
        <v>1335.8303139095726</v>
      </c>
      <c r="W61" s="150">
        <f t="shared" si="52"/>
        <v>1362.5469201877643</v>
      </c>
      <c r="X61" s="150">
        <f t="shared" si="52"/>
        <v>1389.7978585915193</v>
      </c>
      <c r="Y61" s="150">
        <f t="shared" ref="Y61:AC61" si="53">($C$45*Y54)+(($C$45*Y54)/100*$C$48)</f>
        <v>1417.5938157633498</v>
      </c>
      <c r="Z61" s="150">
        <f t="shared" si="53"/>
        <v>1445.9456920786167</v>
      </c>
      <c r="AA61" s="150">
        <f t="shared" si="53"/>
        <v>1474.8646059201892</v>
      </c>
      <c r="AB61" s="150">
        <f t="shared" si="53"/>
        <v>1504.3618980385929</v>
      </c>
      <c r="AC61" s="150">
        <f t="shared" si="53"/>
        <v>1534.4491359993647</v>
      </c>
    </row>
    <row r="62" spans="1:29" ht="16.5" thickBot="1">
      <c r="A62" s="62" t="s">
        <v>151</v>
      </c>
      <c r="B62" s="60"/>
      <c r="C62" s="60"/>
      <c r="D62" s="60"/>
      <c r="E62" s="145">
        <f>SUM(E57:E61)</f>
        <v>12874</v>
      </c>
      <c r="F62" s="146">
        <f t="shared" ref="F62:X62" si="54">SUM(F57:F61)</f>
        <v>12827.423999999999</v>
      </c>
      <c r="G62" s="146">
        <f t="shared" si="54"/>
        <v>12728.068704000001</v>
      </c>
      <c r="H62" s="146">
        <f t="shared" si="54"/>
        <v>12629.929436063998</v>
      </c>
      <c r="I62" s="146">
        <f t="shared" si="54"/>
        <v>12533.00168854742</v>
      </c>
      <c r="J62" s="146">
        <f t="shared" si="54"/>
        <v>12437.28112310665</v>
      </c>
      <c r="K62" s="146">
        <f t="shared" si="54"/>
        <v>12342.763571749976</v>
      </c>
      <c r="L62" s="146">
        <f t="shared" si="54"/>
        <v>12249.445037930533</v>
      </c>
      <c r="M62" s="146">
        <f t="shared" si="54"/>
        <v>12157.321697681993</v>
      </c>
      <c r="N62" s="146">
        <f t="shared" si="54"/>
        <v>12066.389900797543</v>
      </c>
      <c r="O62" s="146">
        <f t="shared" si="54"/>
        <v>11976.646172052953</v>
      </c>
      <c r="P62" s="146">
        <f t="shared" si="54"/>
        <v>11888.087212474311</v>
      </c>
      <c r="Q62" s="146">
        <f t="shared" si="54"/>
        <v>11800.709900651276</v>
      </c>
      <c r="R62" s="146">
        <f t="shared" si="54"/>
        <v>11714.511294096434</v>
      </c>
      <c r="S62" s="146">
        <f t="shared" si="54"/>
        <v>11629.488630651604</v>
      </c>
      <c r="T62" s="146">
        <f t="shared" si="54"/>
        <v>11545.639329941818</v>
      </c>
      <c r="U62" s="146">
        <f t="shared" si="54"/>
        <v>11462.960994877743</v>
      </c>
      <c r="V62" s="146">
        <f t="shared" si="54"/>
        <v>11381.451413207355</v>
      </c>
      <c r="W62" s="146">
        <f t="shared" si="54"/>
        <v>11301.108559117667</v>
      </c>
      <c r="X62" s="147">
        <f t="shared" si="54"/>
        <v>11221.93059488737</v>
      </c>
      <c r="Y62" s="147">
        <f t="shared" ref="Y62:AC62" si="55">SUM(Y57:Y61)</f>
        <v>2702.5012699328681</v>
      </c>
      <c r="Z62" s="147">
        <f t="shared" si="55"/>
        <v>2756.5512953315251</v>
      </c>
      <c r="AA62" s="147">
        <f t="shared" si="55"/>
        <v>2811.682321238156</v>
      </c>
      <c r="AB62" s="147">
        <f t="shared" si="55"/>
        <v>2867.9159676629188</v>
      </c>
      <c r="AC62" s="147">
        <f t="shared" si="55"/>
        <v>2925.2742870161769</v>
      </c>
    </row>
    <row r="63" spans="1:29" ht="11.25" customHeight="1">
      <c r="A63" s="62"/>
      <c r="B63" s="60"/>
      <c r="C63" s="60"/>
      <c r="D63" s="6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ht="15.75">
      <c r="A64" s="159" t="s">
        <v>92</v>
      </c>
      <c r="B64" s="160"/>
      <c r="C64" s="60"/>
      <c r="D64" s="60"/>
      <c r="E64" s="64">
        <f>IF(Calcoli!$I$72=TRUE,Calcoli!D88,0)</f>
        <v>3965.7599999999998</v>
      </c>
      <c r="F64" s="64">
        <f>IF(Calcoli!$I$72=TRUE,Calcoli!E88,0)</f>
        <v>7931.5199999999995</v>
      </c>
      <c r="G64" s="64">
        <f>IF(Calcoli!$I$72=TRUE,Calcoli!F88,0)</f>
        <v>7931.5199999999995</v>
      </c>
      <c r="H64" s="64">
        <f>IF(Calcoli!$I$72=TRUE,Calcoli!G88,0)</f>
        <v>7931.5199999999995</v>
      </c>
      <c r="I64" s="64">
        <f>IF(Calcoli!$I$72=TRUE,Calcoli!H88,0)</f>
        <v>7931.5199999999995</v>
      </c>
      <c r="J64" s="64">
        <f>IF(Calcoli!$I$72=TRUE,Calcoli!I88,0)</f>
        <v>7931.5199999999995</v>
      </c>
      <c r="K64" s="64">
        <f>IF(Calcoli!$I$72=TRUE,Calcoli!J88,0)</f>
        <v>7931.5199999999995</v>
      </c>
      <c r="L64" s="64">
        <f>IF(Calcoli!$I$72=TRUE,Calcoli!K88,0)</f>
        <v>7931.5199999999995</v>
      </c>
      <c r="M64" s="64">
        <f>IF(Calcoli!$I$72=TRUE,Calcoli!L88,0)</f>
        <v>7931.5199999999995</v>
      </c>
      <c r="N64" s="64">
        <f>IF(Calcoli!$I$72=TRUE,Calcoli!M88,0)</f>
        <v>7931.5199999999995</v>
      </c>
      <c r="O64" s="64">
        <f>IF(Calcoli!$I$72=TRUE,Calcoli!N88,0)</f>
        <v>7931.5199999999995</v>
      </c>
      <c r="P64" s="64">
        <f>IF(Calcoli!$I$72=TRUE,Calcoli!O88,0)</f>
        <v>4847.0400000000081</v>
      </c>
      <c r="Q64" s="64">
        <f>IF(Calcoli!$I$72=TRUE,Calcoli!P88,0)</f>
        <v>0</v>
      </c>
      <c r="R64" s="64">
        <f>IF(Calcoli!$I$72=TRUE,Calcoli!Q88,0)</f>
        <v>0</v>
      </c>
      <c r="S64" s="64">
        <f>IF(Calcoli!$I$72=TRUE,Calcoli!R88,0)</f>
        <v>0</v>
      </c>
      <c r="T64" s="64">
        <f>IF(Calcoli!$I$72=TRUE,Calcoli!S88,0)</f>
        <v>0</v>
      </c>
      <c r="U64" s="64">
        <f>IF(Calcoli!$I$72=TRUE,Calcoli!T88,0)</f>
        <v>0</v>
      </c>
      <c r="V64" s="64">
        <f>IF(Calcoli!$I$72=TRUE,Calcoli!U88,0)</f>
        <v>0</v>
      </c>
      <c r="W64" s="64">
        <f>IF(Calcoli!$I$72=TRUE,Calcoli!V88,0)</f>
        <v>0</v>
      </c>
      <c r="X64" s="64">
        <f>IF(Calcoli!$I$72=TRUE,Calcoli!W88,0)</f>
        <v>0</v>
      </c>
      <c r="Y64" s="64">
        <f>IF(Calcoli!$I$72=TRUE,Calcoli!X88,0)</f>
        <v>0</v>
      </c>
      <c r="Z64" s="64">
        <f>IF(Calcoli!$I$72=TRUE,Calcoli!Y88,0)</f>
        <v>0</v>
      </c>
      <c r="AA64" s="64">
        <f>IF(Calcoli!$I$72=TRUE,Calcoli!Z88,0)</f>
        <v>0</v>
      </c>
      <c r="AB64" s="64">
        <f>IF(Calcoli!$I$72=TRUE,Calcoli!AA88,0)</f>
        <v>0</v>
      </c>
      <c r="AC64" s="64">
        <f>IF(Calcoli!$I$72=TRUE,Calcoli!AB88,0)</f>
        <v>0</v>
      </c>
    </row>
    <row r="65" spans="1:29" ht="15.75">
      <c r="A65" s="159" t="s">
        <v>121</v>
      </c>
      <c r="B65" s="160"/>
      <c r="C65" s="60"/>
      <c r="D65" s="60"/>
      <c r="E65" s="106">
        <f>IF(Calcoli!$L$72=FALSE,Calcoli!D67,0)</f>
        <v>8008.24</v>
      </c>
      <c r="F65" s="106">
        <f>IF(Calcoli!$L$72=FALSE,Calcoli!E67,0)</f>
        <v>3922.8239999999996</v>
      </c>
      <c r="G65" s="106">
        <f>IF(Calcoli!$L$72=FALSE,Calcoli!F67,0)</f>
        <v>3804.0071040000012</v>
      </c>
      <c r="H65" s="106">
        <f>IF(Calcoli!$L$72=FALSE,Calcoli!G67,0)</f>
        <v>3686.0170040639978</v>
      </c>
      <c r="I65" s="106">
        <f>IF(Calcoli!$L$72=FALSE,Calcoli!H67,0)</f>
        <v>3568.84140790742</v>
      </c>
      <c r="J65" s="106">
        <f>IF(Calcoli!$L$72=FALSE,Calcoli!I67,0)</f>
        <v>3452.4680368538511</v>
      </c>
      <c r="K65" s="106">
        <f>IF(Calcoli!$L$72=FALSE,Calcoli!J67,0)</f>
        <v>3336.88462377212</v>
      </c>
      <c r="L65" s="106">
        <f>IF(Calcoli!$L$72=FALSE,Calcoli!K67,0)</f>
        <v>3222.0789109931202</v>
      </c>
      <c r="M65" s="106">
        <f>IF(Calcoli!$L$72=FALSE,Calcoli!L67,0)</f>
        <v>3108.038648205832</v>
      </c>
      <c r="N65" s="106">
        <f>IF(Calcoli!$L$72=FALSE,Calcoli!M67,0)</f>
        <v>2994.751590331859</v>
      </c>
      <c r="O65" s="106">
        <f>IF(Calcoli!$L$72=FALSE,Calcoli!N67,0)</f>
        <v>2882.2054953779561</v>
      </c>
      <c r="P65" s="106">
        <f>IF(Calcoli!$L$72=FALSE,Calcoli!O67,0)</f>
        <v>5854.8681222658051</v>
      </c>
      <c r="Q65" s="106">
        <f>IF(Calcoli!$L$72=FALSE,Calcoli!P67,0)</f>
        <v>10590.807228638609</v>
      </c>
      <c r="R65" s="106">
        <f>IF(Calcoli!$L$72=FALSE,Calcoli!Q67,0)</f>
        <v>10480.410568643512</v>
      </c>
      <c r="S65" s="106">
        <f>IF(Calcoli!$L$72=FALSE,Calcoli!R67,0)</f>
        <v>10370.705890689624</v>
      </c>
      <c r="T65" s="106">
        <f>IF(Calcoli!$L$72=FALSE,Calcoli!S67,0)</f>
        <v>10261.680935180599</v>
      </c>
      <c r="U65" s="106">
        <f>IF(Calcoli!$L$72=FALSE,Calcoli!T67,0)</f>
        <v>10153.323432221299</v>
      </c>
      <c r="V65" s="106">
        <f>IF(Calcoli!$L$72=FALSE,Calcoli!U67,0)</f>
        <v>10045.621099297781</v>
      </c>
      <c r="W65" s="106">
        <f>IF(Calcoli!$L$72=FALSE,Calcoli!V67,0)</f>
        <v>9938.561638929903</v>
      </c>
      <c r="X65" s="106">
        <f>IF(Calcoli!$L$72=FALSE,Calcoli!W67,0)</f>
        <v>9832.1327362958509</v>
      </c>
      <c r="Y65" s="106">
        <f>IF(Calcoli!$L$72=FALSE,Calcoli!X67,0)</f>
        <v>1284.9074541695181</v>
      </c>
      <c r="Z65" s="106">
        <f>IF(Calcoli!$L$72=FALSE,Calcoli!Y67,0)</f>
        <v>1310.6056032529084</v>
      </c>
      <c r="AA65" s="106">
        <f>IF(Calcoli!$L$72=FALSE,Calcoli!Z67,0)</f>
        <v>1336.8177153179665</v>
      </c>
      <c r="AB65" s="106">
        <f>IF(Calcoli!$L$72=FALSE,Calcoli!AA67,0)</f>
        <v>1363.5540696243258</v>
      </c>
      <c r="AC65" s="106">
        <f>IF(Calcoli!$L$72=FALSE,Calcoli!AB67,0)</f>
        <v>1390.8251510168122</v>
      </c>
    </row>
    <row r="66" spans="1:29" ht="15.75">
      <c r="A66" s="159" t="s">
        <v>90</v>
      </c>
      <c r="B66" s="160"/>
      <c r="C66" s="60"/>
      <c r="D66" s="60"/>
      <c r="E66" s="64">
        <f>IF(Calcoli!$I$76=TRUE,Calcoli!D110,0)</f>
        <v>1841.8951999999999</v>
      </c>
      <c r="F66" s="64">
        <f>IF(Calcoli!$I$76=TRUE,Calcoli!E110,0)</f>
        <v>902.24951999999996</v>
      </c>
      <c r="G66" s="64">
        <f>IF(Calcoli!$I$76=TRUE,Calcoli!F110,0)</f>
        <v>874.92163392000032</v>
      </c>
      <c r="H66" s="64">
        <f>IF(Calcoli!$I$76=TRUE,Calcoli!G110,0)</f>
        <v>847.78391093471953</v>
      </c>
      <c r="I66" s="64">
        <f>IF(Calcoli!$I$76=TRUE,Calcoli!H110,0)</f>
        <v>820.83352381870657</v>
      </c>
      <c r="J66" s="64">
        <f>IF(Calcoli!$I$76=TRUE,Calcoli!I110,0)</f>
        <v>794.06764847638578</v>
      </c>
      <c r="K66" s="64">
        <f>IF(Calcoli!$I$76=TRUE,Calcoli!J110,0)</f>
        <v>767.48346346758763</v>
      </c>
      <c r="L66" s="64">
        <f>IF(Calcoli!$I$76=TRUE,Calcoli!K110,0)</f>
        <v>741.07814952841773</v>
      </c>
      <c r="M66" s="64">
        <f>IF(Calcoli!$I$76=TRUE,Calcoli!L110,0)</f>
        <v>714.84888908734138</v>
      </c>
      <c r="N66" s="64">
        <f>IF(Calcoli!$I$76=TRUE,Calcoli!M110,0)</f>
        <v>688.79286577632752</v>
      </c>
      <c r="O66" s="64">
        <f>IF(Calcoli!$I$76=TRUE,Calcoli!N110,0)</f>
        <v>662.90726393692989</v>
      </c>
      <c r="P66" s="64">
        <f>IF(Calcoli!$I$76=TRUE,Calcoli!O110,0)</f>
        <v>1346.6196681211352</v>
      </c>
      <c r="Q66" s="64">
        <f>IF(Calcoli!$I$76=TRUE,Calcoli!P110,0)</f>
        <v>2435.8856625868798</v>
      </c>
      <c r="R66" s="64">
        <f>IF(Calcoli!$I$76=TRUE,Calcoli!Q110,0)</f>
        <v>2410.4944307880078</v>
      </c>
      <c r="S66" s="64">
        <f>IF(Calcoli!$I$76=TRUE,Calcoli!R110,0)</f>
        <v>2385.2623548586134</v>
      </c>
      <c r="T66" s="64">
        <f>IF(Calcoli!$I$76=TRUE,Calcoli!S110,0)</f>
        <v>2360.1866150915375</v>
      </c>
      <c r="U66" s="64">
        <f>IF(Calcoli!$I$76=TRUE,Calcoli!T110,0)</f>
        <v>2335.2643894108987</v>
      </c>
      <c r="V66" s="64">
        <f>IF(Calcoli!$I$76=TRUE,Calcoli!U110,0)</f>
        <v>2310.4928528384899</v>
      </c>
      <c r="W66" s="64">
        <f>IF(Calcoli!$I$76=TRUE,Calcoli!V110,0)</f>
        <v>2285.8691769538777</v>
      </c>
      <c r="X66" s="64">
        <f>IF(Calcoli!$I$76=TRUE,Calcoli!W110,0)</f>
        <v>2261.3905293480457</v>
      </c>
      <c r="Y66" s="64">
        <f>IF(Calcoli!$I$76=TRUE,Calcoli!X110,0)</f>
        <v>295.52871445898916</v>
      </c>
      <c r="Z66" s="64">
        <f>IF(Calcoli!$I$76=TRUE,Calcoli!Y110,0)</f>
        <v>301.43928874816891</v>
      </c>
      <c r="AA66" s="64">
        <f>IF(Calcoli!$I$76=TRUE,Calcoli!Z110,0)</f>
        <v>307.46807452313232</v>
      </c>
      <c r="AB66" s="64">
        <f>IF(Calcoli!$I$76=TRUE,Calcoli!AA110,0)</f>
        <v>313.61743601359495</v>
      </c>
      <c r="AC66" s="64">
        <f>IF(Calcoli!$I$76=TRUE,Calcoli!AB110,0)</f>
        <v>319.8897847338668</v>
      </c>
    </row>
    <row r="67" spans="1:29" ht="15.75">
      <c r="A67" s="159" t="s">
        <v>120</v>
      </c>
      <c r="B67" s="160"/>
      <c r="C67" s="60"/>
      <c r="D67" s="60"/>
      <c r="E67" s="154">
        <f>IF(Calcoli!$I$78=TRUE,E65/100*$K$21,0)</f>
        <v>0</v>
      </c>
      <c r="F67" s="154">
        <f>IF(Calcoli!$I$78=TRUE,F65/100*$K$21,0)</f>
        <v>0</v>
      </c>
      <c r="G67" s="154">
        <f>IF(Calcoli!$I$78=TRUE,G65/100*$K$21,0)</f>
        <v>0</v>
      </c>
      <c r="H67" s="154">
        <f>IF(Calcoli!$I$78=TRUE,H65/100*$K$21,0)</f>
        <v>0</v>
      </c>
      <c r="I67" s="154">
        <f>IF(Calcoli!$I$78=TRUE,I65/100*$K$21,0)</f>
        <v>0</v>
      </c>
      <c r="J67" s="154">
        <f>IF(Calcoli!$I$78=TRUE,J65/100*$K$21,0)</f>
        <v>0</v>
      </c>
      <c r="K67" s="154">
        <f>IF(Calcoli!$I$78=TRUE,K65/100*$K$21,0)</f>
        <v>0</v>
      </c>
      <c r="L67" s="154">
        <f>IF(Calcoli!$I$78=TRUE,L65/100*$K$21,0)</f>
        <v>0</v>
      </c>
      <c r="M67" s="154">
        <f>IF(Calcoli!$I$78=TRUE,M65/100*$K$21,0)</f>
        <v>0</v>
      </c>
      <c r="N67" s="154">
        <f>IF(Calcoli!$I$78=TRUE,N65/100*$K$21,0)</f>
        <v>0</v>
      </c>
      <c r="O67" s="154">
        <f>IF(Calcoli!$I$78=TRUE,O65/100*$K$21,0)</f>
        <v>0</v>
      </c>
      <c r="P67" s="154">
        <f>IF(Calcoli!$I$78=TRUE,P65/100*$K$21,0)</f>
        <v>0</v>
      </c>
      <c r="Q67" s="154">
        <f>IF(Calcoli!$I$78=TRUE,Q65/100*$K$21,0)</f>
        <v>0</v>
      </c>
      <c r="R67" s="154">
        <f>IF(Calcoli!$I$78=TRUE,R65/100*$K$21,0)</f>
        <v>0</v>
      </c>
      <c r="S67" s="154">
        <f>IF(Calcoli!$I$78=TRUE,S65/100*$K$21,0)</f>
        <v>0</v>
      </c>
      <c r="T67" s="154">
        <f>IF(Calcoli!$I$78=TRUE,T65/100*$K$21,0)</f>
        <v>0</v>
      </c>
      <c r="U67" s="154">
        <f>IF(Calcoli!$I$78=TRUE,U65/100*$K$21,0)</f>
        <v>0</v>
      </c>
      <c r="V67" s="154">
        <f>IF(Calcoli!$I$78=TRUE,V65/100*$K$21,0)</f>
        <v>0</v>
      </c>
      <c r="W67" s="154">
        <f>IF(Calcoli!$I$78=TRUE,W65/100*$K$21,0)</f>
        <v>0</v>
      </c>
      <c r="X67" s="154">
        <f>IF(Calcoli!$I$78=TRUE,X65/100*$K$21,0)</f>
        <v>0</v>
      </c>
      <c r="Y67" s="154">
        <f>IF(Calcoli!$I$78=TRUE,Y65/100*$K$21,0)</f>
        <v>0</v>
      </c>
      <c r="Z67" s="154">
        <f>IF(Calcoli!$I$78=TRUE,Z65/100*$K$21,0)</f>
        <v>0</v>
      </c>
      <c r="AA67" s="154">
        <f>IF(Calcoli!$I$78=TRUE,AA65/100*$K$21,0)</f>
        <v>0</v>
      </c>
      <c r="AB67" s="154">
        <f>IF(Calcoli!$I$78=TRUE,AB65/100*$K$21,0)</f>
        <v>0</v>
      </c>
      <c r="AC67" s="154">
        <f>IF(Calcoli!$I$78=TRUE,AC65/100*$K$21,0)</f>
        <v>0</v>
      </c>
    </row>
    <row r="68" spans="1:29" ht="15.75">
      <c r="A68" s="159" t="s">
        <v>91</v>
      </c>
      <c r="B68" s="160"/>
      <c r="C68" s="60"/>
      <c r="D68" s="60"/>
      <c r="E68" s="64">
        <f>IF(Calcoli!$I$74=TRUE,E65/100*$K$19,0)</f>
        <v>312.32135999999997</v>
      </c>
      <c r="F68" s="64">
        <f>IF(Calcoli!$I$74=TRUE,F65/100*$K$19,0)</f>
        <v>152.99013600000001</v>
      </c>
      <c r="G68" s="64">
        <f>IF(Calcoli!$I$74=TRUE,G65/100*$K$19,0)</f>
        <v>148.35627705600007</v>
      </c>
      <c r="H68" s="64">
        <f>IF(Calcoli!$I$74=TRUE,H65/100*$K$19,0)</f>
        <v>143.7546631584959</v>
      </c>
      <c r="I68" s="64">
        <f>IF(Calcoli!$I$74=TRUE,I65/100*$K$19,0)</f>
        <v>139.18481490838937</v>
      </c>
      <c r="J68" s="64">
        <f>IF(Calcoli!$I$74=TRUE,J65/100*$K$19,0)</f>
        <v>134.6462534373002</v>
      </c>
      <c r="K68" s="64">
        <f>IF(Calcoli!$I$74=TRUE,K65/100*$K$19,0)</f>
        <v>130.13850032711267</v>
      </c>
      <c r="L68" s="64">
        <f>IF(Calcoli!$I$74=TRUE,L65/100*$K$19,0)</f>
        <v>125.6610775287317</v>
      </c>
      <c r="M68" s="64">
        <f>IF(Calcoli!$I$74=TRUE,M65/100*$K$19,0)</f>
        <v>121.21350728002744</v>
      </c>
      <c r="N68" s="64">
        <f>IF(Calcoli!$I$74=TRUE,N65/100*$K$19,0)</f>
        <v>116.7953120229425</v>
      </c>
      <c r="O68" s="64">
        <f>IF(Calcoli!$I$74=TRUE,O65/100*$K$19,0)</f>
        <v>112.40601431974028</v>
      </c>
      <c r="P68" s="64">
        <f>IF(Calcoli!$I$74=TRUE,P65/100*$K$19,0)</f>
        <v>228.33985676836642</v>
      </c>
      <c r="Q68" s="64">
        <f>IF(Calcoli!$I$74=TRUE,Q65/100*$K$19,0)</f>
        <v>413.04148191690575</v>
      </c>
      <c r="R68" s="64">
        <f>IF(Calcoli!$I$74=TRUE,R65/100*$K$19,0)</f>
        <v>408.73601217709694</v>
      </c>
      <c r="S68" s="64">
        <f>IF(Calcoli!$I$74=TRUE,S65/100*$K$19,0)</f>
        <v>404.45752973689531</v>
      </c>
      <c r="T68" s="64">
        <f>IF(Calcoli!$I$74=TRUE,T65/100*$K$19,0)</f>
        <v>400.20555647204333</v>
      </c>
      <c r="U68" s="64">
        <f>IF(Calcoli!$I$74=TRUE,U65/100*$K$19,0)</f>
        <v>395.97961385663064</v>
      </c>
      <c r="V68" s="64">
        <f>IF(Calcoli!$I$74=TRUE,V65/100*$K$19,0)</f>
        <v>391.77922287261345</v>
      </c>
      <c r="W68" s="64">
        <f>IF(Calcoli!$I$74=TRUE,W65/100*$K$19,0)</f>
        <v>387.60390391826621</v>
      </c>
      <c r="X68" s="64">
        <f>IF(Calcoli!$I$74=TRUE,X65/100*$K$19,0)</f>
        <v>383.45317671553818</v>
      </c>
      <c r="Y68" s="64">
        <f>IF(Calcoli!$I$74=TRUE,Y65/100*$K$19,0)</f>
        <v>50.111390712611204</v>
      </c>
      <c r="Z68" s="64">
        <f>IF(Calcoli!$I$74=TRUE,Z65/100*$K$19,0)</f>
        <v>51.113618526863426</v>
      </c>
      <c r="AA68" s="64">
        <f>IF(Calcoli!$I$74=TRUE,AA65/100*$K$19,0)</f>
        <v>52.135890897400692</v>
      </c>
      <c r="AB68" s="64">
        <f>IF(Calcoli!$I$74=TRUE,AB65/100*$K$19,0)</f>
        <v>53.178608715348709</v>
      </c>
      <c r="AC68" s="64">
        <f>IF(Calcoli!$I$74=TRUE,AC65/100*$K$19,0)</f>
        <v>54.242180889655678</v>
      </c>
    </row>
    <row r="69" spans="1:29" ht="15.75">
      <c r="A69" s="161" t="s">
        <v>42</v>
      </c>
      <c r="B69" s="162"/>
      <c r="C69" s="60"/>
      <c r="D69" s="60"/>
      <c r="E69" s="151">
        <f>$C$38</f>
        <v>150</v>
      </c>
      <c r="F69" s="151">
        <f t="shared" ref="F69:AC69" si="56">$C$38</f>
        <v>150</v>
      </c>
      <c r="G69" s="151">
        <f t="shared" si="56"/>
        <v>150</v>
      </c>
      <c r="H69" s="151">
        <f t="shared" si="56"/>
        <v>150</v>
      </c>
      <c r="I69" s="151">
        <f t="shared" si="56"/>
        <v>150</v>
      </c>
      <c r="J69" s="151">
        <f t="shared" si="56"/>
        <v>150</v>
      </c>
      <c r="K69" s="151">
        <f t="shared" si="56"/>
        <v>150</v>
      </c>
      <c r="L69" s="151">
        <f t="shared" si="56"/>
        <v>150</v>
      </c>
      <c r="M69" s="151">
        <f t="shared" si="56"/>
        <v>150</v>
      </c>
      <c r="N69" s="151">
        <f t="shared" si="56"/>
        <v>150</v>
      </c>
      <c r="O69" s="151">
        <f t="shared" si="56"/>
        <v>150</v>
      </c>
      <c r="P69" s="151">
        <f t="shared" si="56"/>
        <v>150</v>
      </c>
      <c r="Q69" s="151">
        <f t="shared" si="56"/>
        <v>150</v>
      </c>
      <c r="R69" s="151">
        <f t="shared" si="56"/>
        <v>150</v>
      </c>
      <c r="S69" s="151">
        <f t="shared" si="56"/>
        <v>150</v>
      </c>
      <c r="T69" s="151">
        <f t="shared" si="56"/>
        <v>150</v>
      </c>
      <c r="U69" s="151">
        <f t="shared" si="56"/>
        <v>150</v>
      </c>
      <c r="V69" s="151">
        <f t="shared" si="56"/>
        <v>150</v>
      </c>
      <c r="W69" s="151">
        <f t="shared" si="56"/>
        <v>150</v>
      </c>
      <c r="X69" s="151">
        <f t="shared" si="56"/>
        <v>150</v>
      </c>
      <c r="Y69" s="151">
        <f t="shared" si="56"/>
        <v>150</v>
      </c>
      <c r="Z69" s="151">
        <f t="shared" si="56"/>
        <v>150</v>
      </c>
      <c r="AA69" s="151">
        <f t="shared" si="56"/>
        <v>150</v>
      </c>
      <c r="AB69" s="151">
        <f t="shared" si="56"/>
        <v>150</v>
      </c>
      <c r="AC69" s="151">
        <f t="shared" si="56"/>
        <v>150</v>
      </c>
    </row>
    <row r="70" spans="1:29" ht="15.75">
      <c r="A70" s="161" t="s">
        <v>82</v>
      </c>
      <c r="B70" s="162"/>
      <c r="C70" s="60"/>
      <c r="D70" s="60"/>
      <c r="E70" s="151">
        <f>C40</f>
        <v>116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1">
        <v>0</v>
      </c>
      <c r="AB70" s="151">
        <v>0</v>
      </c>
      <c r="AC70" s="151">
        <v>0</v>
      </c>
    </row>
    <row r="71" spans="1:29" ht="15.75">
      <c r="A71" s="161" t="s">
        <v>81</v>
      </c>
      <c r="B71" s="162"/>
      <c r="C71" s="60"/>
      <c r="D71" s="60"/>
      <c r="E71" s="151">
        <f>$C$41</f>
        <v>28.8</v>
      </c>
      <c r="F71" s="151">
        <f t="shared" ref="F71:AC71" si="57">$C$41</f>
        <v>28.8</v>
      </c>
      <c r="G71" s="151">
        <f t="shared" si="57"/>
        <v>28.8</v>
      </c>
      <c r="H71" s="151">
        <f t="shared" si="57"/>
        <v>28.8</v>
      </c>
      <c r="I71" s="151">
        <f t="shared" si="57"/>
        <v>28.8</v>
      </c>
      <c r="J71" s="151">
        <f t="shared" si="57"/>
        <v>28.8</v>
      </c>
      <c r="K71" s="151">
        <f t="shared" si="57"/>
        <v>28.8</v>
      </c>
      <c r="L71" s="151">
        <f t="shared" si="57"/>
        <v>28.8</v>
      </c>
      <c r="M71" s="151">
        <f t="shared" si="57"/>
        <v>28.8</v>
      </c>
      <c r="N71" s="151">
        <f t="shared" si="57"/>
        <v>28.8</v>
      </c>
      <c r="O71" s="151">
        <f t="shared" si="57"/>
        <v>28.8</v>
      </c>
      <c r="P71" s="151">
        <f t="shared" si="57"/>
        <v>28.8</v>
      </c>
      <c r="Q71" s="151">
        <f t="shared" si="57"/>
        <v>28.8</v>
      </c>
      <c r="R71" s="151">
        <f t="shared" si="57"/>
        <v>28.8</v>
      </c>
      <c r="S71" s="151">
        <f t="shared" si="57"/>
        <v>28.8</v>
      </c>
      <c r="T71" s="151">
        <f t="shared" si="57"/>
        <v>28.8</v>
      </c>
      <c r="U71" s="151">
        <f t="shared" si="57"/>
        <v>28.8</v>
      </c>
      <c r="V71" s="151">
        <f t="shared" si="57"/>
        <v>28.8</v>
      </c>
      <c r="W71" s="151">
        <f t="shared" si="57"/>
        <v>28.8</v>
      </c>
      <c r="X71" s="151">
        <f t="shared" si="57"/>
        <v>28.8</v>
      </c>
      <c r="Y71" s="151">
        <f t="shared" si="57"/>
        <v>28.8</v>
      </c>
      <c r="Z71" s="151">
        <f t="shared" si="57"/>
        <v>28.8</v>
      </c>
      <c r="AA71" s="151">
        <f t="shared" si="57"/>
        <v>28.8</v>
      </c>
      <c r="AB71" s="151">
        <f t="shared" si="57"/>
        <v>28.8</v>
      </c>
      <c r="AC71" s="151">
        <f t="shared" si="57"/>
        <v>28.8</v>
      </c>
    </row>
    <row r="72" spans="1:29" ht="15.75">
      <c r="A72" s="161" t="s">
        <v>138</v>
      </c>
      <c r="B72" s="162"/>
      <c r="C72" s="60"/>
      <c r="D72" s="60"/>
      <c r="E72" s="151">
        <f>$C$42</f>
        <v>1935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1">
        <v>0</v>
      </c>
      <c r="AB72" s="151">
        <v>0</v>
      </c>
      <c r="AC72" s="151">
        <v>0</v>
      </c>
    </row>
    <row r="73" spans="1:29" ht="15.75">
      <c r="A73" s="161" t="s">
        <v>86</v>
      </c>
      <c r="B73" s="162"/>
      <c r="C73" s="60"/>
      <c r="D73" s="60"/>
      <c r="E73" s="151">
        <f>$C$43</f>
        <v>19240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1">
        <v>0</v>
      </c>
      <c r="AA73" s="151">
        <v>0</v>
      </c>
      <c r="AB73" s="151">
        <v>0</v>
      </c>
      <c r="AC73" s="151">
        <v>0</v>
      </c>
    </row>
    <row r="74" spans="1:29" ht="16.5" thickBot="1">
      <c r="A74" s="161" t="s">
        <v>41</v>
      </c>
      <c r="B74" s="162"/>
      <c r="C74" s="60"/>
      <c r="D74" s="60"/>
      <c r="E74" s="151">
        <f t="shared" ref="E74:AC74" si="58">$C$44</f>
        <v>100</v>
      </c>
      <c r="F74" s="151">
        <f t="shared" si="58"/>
        <v>100</v>
      </c>
      <c r="G74" s="151">
        <f t="shared" si="58"/>
        <v>100</v>
      </c>
      <c r="H74" s="151">
        <f t="shared" si="58"/>
        <v>100</v>
      </c>
      <c r="I74" s="151">
        <f t="shared" si="58"/>
        <v>100</v>
      </c>
      <c r="J74" s="151">
        <f t="shared" si="58"/>
        <v>100</v>
      </c>
      <c r="K74" s="151">
        <f t="shared" si="58"/>
        <v>100</v>
      </c>
      <c r="L74" s="151">
        <f t="shared" si="58"/>
        <v>100</v>
      </c>
      <c r="M74" s="151">
        <f t="shared" si="58"/>
        <v>100</v>
      </c>
      <c r="N74" s="151">
        <f t="shared" si="58"/>
        <v>100</v>
      </c>
      <c r="O74" s="151">
        <f t="shared" si="58"/>
        <v>100</v>
      </c>
      <c r="P74" s="151">
        <f t="shared" si="58"/>
        <v>100</v>
      </c>
      <c r="Q74" s="151">
        <f t="shared" si="58"/>
        <v>100</v>
      </c>
      <c r="R74" s="151">
        <f t="shared" si="58"/>
        <v>100</v>
      </c>
      <c r="S74" s="151">
        <f t="shared" si="58"/>
        <v>100</v>
      </c>
      <c r="T74" s="151">
        <f t="shared" si="58"/>
        <v>100</v>
      </c>
      <c r="U74" s="151">
        <f t="shared" si="58"/>
        <v>100</v>
      </c>
      <c r="V74" s="151">
        <f t="shared" si="58"/>
        <v>100</v>
      </c>
      <c r="W74" s="151">
        <f t="shared" si="58"/>
        <v>100</v>
      </c>
      <c r="X74" s="151">
        <f t="shared" si="58"/>
        <v>100</v>
      </c>
      <c r="Y74" s="151">
        <f t="shared" si="58"/>
        <v>100</v>
      </c>
      <c r="Z74" s="151">
        <f t="shared" si="58"/>
        <v>100</v>
      </c>
      <c r="AA74" s="151">
        <f t="shared" si="58"/>
        <v>100</v>
      </c>
      <c r="AB74" s="151">
        <f t="shared" si="58"/>
        <v>100</v>
      </c>
      <c r="AC74" s="151">
        <f t="shared" si="58"/>
        <v>100</v>
      </c>
    </row>
    <row r="75" spans="1:29" ht="16.5" thickBot="1">
      <c r="A75" s="62" t="s">
        <v>152</v>
      </c>
      <c r="B75" s="60"/>
      <c r="C75" s="60"/>
      <c r="D75" s="60"/>
      <c r="E75" s="145">
        <f>SUM(E66:E74)</f>
        <v>23724.01656</v>
      </c>
      <c r="F75" s="146">
        <f>SUM(F66:F74)</f>
        <v>1334.0396559999999</v>
      </c>
      <c r="G75" s="146">
        <f t="shared" ref="G75:X75" si="59">SUM(G66:G74)</f>
        <v>1302.0779109760003</v>
      </c>
      <c r="H75" s="146">
        <f t="shared" si="59"/>
        <v>1270.3385740932154</v>
      </c>
      <c r="I75" s="146">
        <f t="shared" si="59"/>
        <v>1238.8183387270958</v>
      </c>
      <c r="J75" s="146">
        <f t="shared" si="59"/>
        <v>1207.5139019136859</v>
      </c>
      <c r="K75" s="146">
        <f t="shared" si="59"/>
        <v>1176.4219637947001</v>
      </c>
      <c r="L75" s="146">
        <f t="shared" si="59"/>
        <v>1145.5392270571494</v>
      </c>
      <c r="M75" s="146">
        <f t="shared" si="59"/>
        <v>1114.8623963673688</v>
      </c>
      <c r="N75" s="146">
        <f t="shared" si="59"/>
        <v>1084.3881777992701</v>
      </c>
      <c r="O75" s="146">
        <f t="shared" si="59"/>
        <v>1054.1132782566701</v>
      </c>
      <c r="P75" s="146">
        <f t="shared" si="59"/>
        <v>1853.7595248895016</v>
      </c>
      <c r="Q75" s="146">
        <f t="shared" si="59"/>
        <v>3127.7271445037859</v>
      </c>
      <c r="R75" s="146">
        <f t="shared" si="59"/>
        <v>3098.0304429651051</v>
      </c>
      <c r="S75" s="146">
        <f t="shared" si="59"/>
        <v>3068.5198845955088</v>
      </c>
      <c r="T75" s="146">
        <f t="shared" si="59"/>
        <v>3039.1921715635808</v>
      </c>
      <c r="U75" s="146">
        <f t="shared" si="59"/>
        <v>3010.0440032675297</v>
      </c>
      <c r="V75" s="146">
        <f t="shared" si="59"/>
        <v>2981.0720757111035</v>
      </c>
      <c r="W75" s="146">
        <f t="shared" si="59"/>
        <v>2952.273080872144</v>
      </c>
      <c r="X75" s="147">
        <f t="shared" si="59"/>
        <v>2923.643706063584</v>
      </c>
      <c r="Y75" s="147">
        <f t="shared" ref="Y75:AC75" si="60">SUM(Y66:Y74)</f>
        <v>624.44010517160029</v>
      </c>
      <c r="Z75" s="147">
        <f t="shared" si="60"/>
        <v>631.35290727503229</v>
      </c>
      <c r="AA75" s="147">
        <f t="shared" si="60"/>
        <v>638.40396542053304</v>
      </c>
      <c r="AB75" s="147">
        <f t="shared" si="60"/>
        <v>645.59604472894364</v>
      </c>
      <c r="AC75" s="147">
        <f t="shared" si="60"/>
        <v>652.9319656235225</v>
      </c>
    </row>
    <row r="76" spans="1:29" ht="11.25" customHeight="1">
      <c r="A76" s="50"/>
      <c r="B76" s="60"/>
      <c r="C76" s="60"/>
      <c r="D76" s="60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1:29" ht="16.5" thickBot="1">
      <c r="A77" s="62" t="s">
        <v>96</v>
      </c>
      <c r="B77" s="60"/>
      <c r="C77" s="60"/>
      <c r="D77" s="60"/>
      <c r="E77" s="66">
        <v>1</v>
      </c>
      <c r="F77" s="66">
        <v>2</v>
      </c>
      <c r="G77" s="66">
        <v>3</v>
      </c>
      <c r="H77" s="66">
        <v>4</v>
      </c>
      <c r="I77" s="66">
        <v>5</v>
      </c>
      <c r="J77" s="66">
        <v>6</v>
      </c>
      <c r="K77" s="66">
        <v>7</v>
      </c>
      <c r="L77" s="66">
        <v>8</v>
      </c>
      <c r="M77" s="66">
        <v>9</v>
      </c>
      <c r="N77" s="66">
        <v>10</v>
      </c>
      <c r="O77" s="66">
        <v>11</v>
      </c>
      <c r="P77" s="66">
        <v>12</v>
      </c>
      <c r="Q77" s="66">
        <v>13</v>
      </c>
      <c r="R77" s="66">
        <v>14</v>
      </c>
      <c r="S77" s="66">
        <v>15</v>
      </c>
      <c r="T77" s="66">
        <v>16</v>
      </c>
      <c r="U77" s="66">
        <v>17</v>
      </c>
      <c r="V77" s="66">
        <v>18</v>
      </c>
      <c r="W77" s="66">
        <v>19</v>
      </c>
      <c r="X77" s="66">
        <v>20</v>
      </c>
      <c r="Y77" s="66">
        <v>21</v>
      </c>
      <c r="Z77" s="66">
        <v>22</v>
      </c>
      <c r="AA77" s="66">
        <v>23</v>
      </c>
      <c r="AB77" s="66">
        <v>24</v>
      </c>
      <c r="AC77" s="66">
        <v>25</v>
      </c>
    </row>
    <row r="78" spans="1:29" ht="16.5" thickBot="1">
      <c r="A78" s="62" t="s">
        <v>153</v>
      </c>
      <c r="B78" s="60"/>
      <c r="C78" s="60"/>
      <c r="D78" s="60"/>
      <c r="E78" s="67">
        <f>(-(C3*C37))+E62-E75</f>
        <v>-98978.016560000004</v>
      </c>
      <c r="F78" s="67">
        <f t="shared" ref="F78:X78" si="61">E78+F62-F75</f>
        <v>-87484.632215999998</v>
      </c>
      <c r="G78" s="67">
        <f t="shared" si="61"/>
        <v>-76058.641422975998</v>
      </c>
      <c r="H78" s="67">
        <f t="shared" si="61"/>
        <v>-64699.050561005213</v>
      </c>
      <c r="I78" s="67">
        <f t="shared" si="61"/>
        <v>-53404.867211184894</v>
      </c>
      <c r="J78" s="67">
        <f t="shared" si="61"/>
        <v>-42175.099989991926</v>
      </c>
      <c r="K78" s="67">
        <f t="shared" si="61"/>
        <v>-31008.758382036649</v>
      </c>
      <c r="L78" s="67">
        <f t="shared" si="61"/>
        <v>-19904.852571163265</v>
      </c>
      <c r="M78" s="67">
        <f t="shared" si="61"/>
        <v>-8862.3932698486406</v>
      </c>
      <c r="N78" s="67">
        <f t="shared" si="61"/>
        <v>2119.6084531496326</v>
      </c>
      <c r="O78" s="67">
        <f t="shared" si="61"/>
        <v>13042.141346945915</v>
      </c>
      <c r="P78" s="67">
        <f t="shared" si="61"/>
        <v>23076.469034530724</v>
      </c>
      <c r="Q78" s="67">
        <f t="shared" si="61"/>
        <v>31749.45179067822</v>
      </c>
      <c r="R78" s="67">
        <f t="shared" si="61"/>
        <v>40365.932641809544</v>
      </c>
      <c r="S78" s="67">
        <f t="shared" si="61"/>
        <v>48926.901387865641</v>
      </c>
      <c r="T78" s="67">
        <f t="shared" si="61"/>
        <v>57433.348546243877</v>
      </c>
      <c r="U78" s="67">
        <f t="shared" si="61"/>
        <v>65886.265537854095</v>
      </c>
      <c r="V78" s="67">
        <f t="shared" si="61"/>
        <v>74286.64487535035</v>
      </c>
      <c r="W78" s="67">
        <f t="shared" si="61"/>
        <v>82635.480353595878</v>
      </c>
      <c r="X78" s="67">
        <f t="shared" si="61"/>
        <v>90933.767242419664</v>
      </c>
      <c r="Y78" s="67">
        <f t="shared" ref="Y78" si="62">X78+Y62-Y75</f>
        <v>93011.828407180932</v>
      </c>
      <c r="Z78" s="67">
        <f t="shared" ref="Z78" si="63">Y78+Z62-Z75</f>
        <v>95137.026795237412</v>
      </c>
      <c r="AA78" s="67">
        <f t="shared" ref="AA78" si="64">Z78+AA62-AA75</f>
        <v>97310.305151055043</v>
      </c>
      <c r="AB78" s="67">
        <f t="shared" ref="AB78" si="65">AA78+AB62-AB75</f>
        <v>99532.625073989024</v>
      </c>
      <c r="AC78" s="67">
        <f t="shared" ref="AC78" si="66">AB78+AC62-AC75</f>
        <v>101804.96739538168</v>
      </c>
    </row>
    <row r="79" spans="1:29" ht="15.75" thickBot="1"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</row>
    <row r="80" spans="1:29" ht="15.75" thickBot="1">
      <c r="A80" s="142"/>
      <c r="B80" s="68" t="s">
        <v>149</v>
      </c>
    </row>
    <row r="81" spans="1:2" ht="15.75" thickBot="1">
      <c r="A81" s="149"/>
      <c r="B81" s="68" t="s">
        <v>150</v>
      </c>
    </row>
    <row r="82" spans="1:2" ht="15.75" thickBot="1">
      <c r="A82" s="143"/>
      <c r="B82" s="68" t="s">
        <v>147</v>
      </c>
    </row>
    <row r="83" spans="1:2" ht="15.75" thickBot="1">
      <c r="A83" s="152"/>
      <c r="B83" s="68" t="s">
        <v>148</v>
      </c>
    </row>
    <row r="84" spans="1:2">
      <c r="A84" s="2"/>
      <c r="B84" s="144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78:X78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4:X68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4:X64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78:AC78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4:AC68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4:AC64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5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7:AC61">
    <cfRule type="cellIs" dxfId="0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  <ignoredError sqref="E7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23"/>
  <sheetViews>
    <sheetView topLeftCell="E49" zoomScaleNormal="100" workbookViewId="0">
      <selection activeCell="I67" sqref="I67"/>
    </sheetView>
  </sheetViews>
  <sheetFormatPr defaultRowHeight="15"/>
  <cols>
    <col min="1" max="3" width="9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7" customWidth="1"/>
    <col min="18" max="21" width="9.140625" style="6" customWidth="1"/>
    <col min="22" max="16384" width="9.140625" style="6"/>
  </cols>
  <sheetData>
    <row r="1" spans="4:18" s="1" customFormat="1" ht="18.75">
      <c r="D1" s="198">
        <v>1</v>
      </c>
      <c r="E1" s="2" t="s">
        <v>104</v>
      </c>
      <c r="F1" s="3"/>
      <c r="H1" s="2" t="s">
        <v>17</v>
      </c>
      <c r="I1" s="2"/>
      <c r="J1" s="2"/>
      <c r="K1" s="2">
        <v>1</v>
      </c>
      <c r="L1" s="2">
        <v>4</v>
      </c>
      <c r="M1" s="4">
        <f>'Simulazione 4.4'!C3</f>
        <v>48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18">
      <c r="D2" s="199"/>
      <c r="E2" s="2" t="s">
        <v>105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</row>
    <row r="3" spans="4:18">
      <c r="D3" s="199"/>
      <c r="E3" s="2" t="s">
        <v>106</v>
      </c>
      <c r="F3" s="7"/>
      <c r="H3" s="2" t="s">
        <v>15</v>
      </c>
      <c r="I3" s="2"/>
      <c r="J3" s="2"/>
      <c r="K3" s="2"/>
      <c r="P3" s="2" t="b">
        <f>AND($K$1=1,$L$1=3,$M$1&lt;=20)</f>
        <v>0</v>
      </c>
      <c r="Q3" s="5">
        <v>20</v>
      </c>
      <c r="R3" s="2">
        <f t="shared" ref="R3" si="0">IF(P3=TRUE,Q3,0)</f>
        <v>0</v>
      </c>
    </row>
    <row r="4" spans="4:18">
      <c r="D4" s="199"/>
      <c r="E4" s="2" t="s">
        <v>107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</row>
    <row r="5" spans="4:18">
      <c r="D5" s="199"/>
      <c r="E5" s="2" t="s">
        <v>108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</row>
    <row r="6" spans="4:18" ht="15.75" thickBot="1">
      <c r="E6" s="2"/>
      <c r="H6" s="17"/>
      <c r="P6" s="2" t="b">
        <f>AND($K$1=2,$L$1=2,$M$1&lt;=20)</f>
        <v>0</v>
      </c>
      <c r="Q6" s="18">
        <v>20</v>
      </c>
      <c r="R6" s="2">
        <f t="shared" si="1"/>
        <v>0</v>
      </c>
    </row>
    <row r="7" spans="4:18">
      <c r="D7" s="198">
        <v>1</v>
      </c>
      <c r="E7" s="15" t="s">
        <v>0</v>
      </c>
      <c r="F7" s="16"/>
      <c r="H7" s="23"/>
      <c r="I7" s="15" t="s">
        <v>124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</row>
    <row r="8" spans="4:18" ht="15.75" thickBot="1">
      <c r="D8" s="200"/>
      <c r="E8" s="19" t="s">
        <v>1</v>
      </c>
      <c r="F8" s="20"/>
      <c r="H8" s="22"/>
      <c r="I8" s="2" t="s">
        <v>125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</row>
    <row r="9" spans="4:18" ht="15.75" thickBot="1">
      <c r="H9" s="29">
        <v>1</v>
      </c>
      <c r="I9" s="19" t="s">
        <v>126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</row>
    <row r="10" spans="4:18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</row>
    <row r="11" spans="4:18">
      <c r="D11" s="23"/>
      <c r="E11" s="15"/>
      <c r="F11" s="194" t="s">
        <v>4</v>
      </c>
      <c r="G11" s="195"/>
      <c r="H11" s="87"/>
      <c r="I11" s="87"/>
      <c r="J11" s="84"/>
      <c r="K11" s="15"/>
      <c r="L11" s="194" t="s">
        <v>5</v>
      </c>
      <c r="M11" s="195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</row>
    <row r="12" spans="4:18">
      <c r="D12" s="22"/>
      <c r="E12" s="2"/>
      <c r="F12" s="5" t="s">
        <v>2</v>
      </c>
      <c r="G12" s="26" t="s">
        <v>3</v>
      </c>
      <c r="H12" s="87"/>
      <c r="I12" s="87"/>
      <c r="J12" s="85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</row>
    <row r="13" spans="4:18">
      <c r="D13" s="22" t="b">
        <f>AND($D$1=1,$D$7=1,'Simulazione 4.4'!$C$3&lt;=3,'Simulazione 4.4'!$C$3&gt;=1)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87">
        <f t="shared" ref="H13:H18" si="3">IF(D13=TRUE,F13,0)</f>
        <v>0</v>
      </c>
      <c r="I13" s="87">
        <f t="shared" ref="I13:I18" si="4">IF(D13=TRUE,G13,0)</f>
        <v>0</v>
      </c>
      <c r="J13" s="22" t="b">
        <f>AND($D$1=1,$D$7=2,'Simulazione 4.4'!$C$3&lt;=3,'Simulazione 4.4'!$C$3&gt;=1)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7">
        <v>0</v>
      </c>
      <c r="R13" s="2">
        <f t="shared" si="1"/>
        <v>0</v>
      </c>
    </row>
    <row r="14" spans="4:18">
      <c r="D14" s="22" t="b">
        <f>AND($D$1=1,$D$7=1,'Simulazione 4.4'!$C$3&lt;=20,'Simulazione 4.4'!$C$3&gt;3)</f>
        <v>0</v>
      </c>
      <c r="E14" s="28" t="s">
        <v>7</v>
      </c>
      <c r="F14" s="5">
        <v>196</v>
      </c>
      <c r="G14" s="26">
        <f t="shared" si="2"/>
        <v>114</v>
      </c>
      <c r="H14" s="87">
        <f t="shared" si="3"/>
        <v>0</v>
      </c>
      <c r="I14" s="87">
        <f t="shared" si="4"/>
        <v>0</v>
      </c>
      <c r="J14" s="22" t="b">
        <f>AND($D$1=1,$D$7=2,'Simulazione 4.4'!$C$3&lt;=20,'Simulazione 4.4'!$C$3&gt;3)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7">
        <v>20</v>
      </c>
      <c r="R14" s="2">
        <f t="shared" si="1"/>
        <v>0</v>
      </c>
    </row>
    <row r="15" spans="4:18" ht="22.5" customHeight="1">
      <c r="D15" s="22" t="b">
        <f>AND($D$1=1,$D$7=1,'Simulazione 4.4'!$C$3&lt;=200,'Simulazione 4.4'!$C$3&gt;20)</f>
        <v>1</v>
      </c>
      <c r="E15" s="28" t="s">
        <v>8</v>
      </c>
      <c r="F15" s="5">
        <v>175</v>
      </c>
      <c r="G15" s="26">
        <f t="shared" si="2"/>
        <v>93</v>
      </c>
      <c r="H15" s="87">
        <f t="shared" si="3"/>
        <v>175</v>
      </c>
      <c r="I15" s="87">
        <f t="shared" si="4"/>
        <v>93</v>
      </c>
      <c r="J15" s="22" t="b">
        <f>AND($D$1=1,$D$7=2,'Simulazione 4.4'!$C$3&lt;=200,'Simulazione 4.4'!$C$3&gt;20)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7">
        <v>20</v>
      </c>
      <c r="R15" s="2">
        <f t="shared" si="1"/>
        <v>0</v>
      </c>
    </row>
    <row r="16" spans="4:18" ht="13.5" customHeight="1">
      <c r="D16" s="22" t="b">
        <f>AND($D$1=1,$D$7=1,'Simulazione 4.4'!$C$3&lt;=1000,'Simulazione 4.4'!$C$3&gt;200)</f>
        <v>0</v>
      </c>
      <c r="E16" s="28" t="s">
        <v>9</v>
      </c>
      <c r="F16" s="5">
        <v>142</v>
      </c>
      <c r="G16" s="26">
        <f t="shared" si="2"/>
        <v>60</v>
      </c>
      <c r="H16" s="87">
        <f t="shared" si="3"/>
        <v>0</v>
      </c>
      <c r="I16" s="87">
        <f t="shared" si="4"/>
        <v>0</v>
      </c>
      <c r="J16" s="22" t="b">
        <f>AND($D$1=1,$D$7=2,'Simulazione 4.4'!$C$3&lt;=1000,'Simulazione 4.4'!$C$3&gt;200)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1</v>
      </c>
      <c r="Q16" s="87">
        <v>40</v>
      </c>
      <c r="R16" s="2">
        <f t="shared" si="1"/>
        <v>40</v>
      </c>
    </row>
    <row r="17" spans="4:21">
      <c r="D17" s="22" t="b">
        <f>AND($D$1=1,$D$7=1,'Simulazione 4.4'!$C$3&lt;=5000,'Simulazione 4.4'!$C$3&gt;1000)</f>
        <v>0</v>
      </c>
      <c r="E17" s="28" t="s">
        <v>10</v>
      </c>
      <c r="F17" s="5">
        <v>126</v>
      </c>
      <c r="G17" s="26">
        <f t="shared" si="2"/>
        <v>44</v>
      </c>
      <c r="H17" s="87">
        <f t="shared" si="3"/>
        <v>0</v>
      </c>
      <c r="I17" s="87">
        <f t="shared" si="4"/>
        <v>0</v>
      </c>
      <c r="J17" s="22" t="b">
        <f>AND($D$1=1,$D$7=2,'Simulazione 4.4'!$C$3&lt;=5000,'Simulazione 4.4'!$C$3&gt;1000)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7">
        <v>0</v>
      </c>
      <c r="R17" s="2">
        <f t="shared" si="1"/>
        <v>0</v>
      </c>
    </row>
    <row r="18" spans="4:21" ht="15.75" thickBot="1">
      <c r="D18" s="29" t="b">
        <f>AND($D$1=1,$D$7=1,'Simulazione 4.4'!$C$3&gt;=5000)</f>
        <v>0</v>
      </c>
      <c r="E18" s="35" t="s">
        <v>11</v>
      </c>
      <c r="F18" s="36">
        <v>119</v>
      </c>
      <c r="G18" s="37">
        <f t="shared" si="2"/>
        <v>37</v>
      </c>
      <c r="H18" s="87">
        <f t="shared" si="3"/>
        <v>0</v>
      </c>
      <c r="I18" s="87">
        <f t="shared" si="4"/>
        <v>0</v>
      </c>
      <c r="J18" s="29" t="b">
        <f>AND($D$1=1,$D$7=2,'Simulazione 4.4'!$C$3&gt;=5000)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7">
        <v>10</v>
      </c>
      <c r="R18" s="2">
        <f t="shared" si="1"/>
        <v>0</v>
      </c>
    </row>
    <row r="19" spans="4:21" ht="15.75" thickBot="1">
      <c r="F19" s="87"/>
      <c r="G19" s="87"/>
      <c r="H19" s="42">
        <f>IF($H$9=1,H13+H14+H15+H16+H17+H18,0)</f>
        <v>175</v>
      </c>
      <c r="I19" s="42">
        <f>IF($H$9=1,I13+I14+I15+I16+I17+I18,0)</f>
        <v>93</v>
      </c>
      <c r="K19" s="87"/>
      <c r="L19" s="87"/>
      <c r="M19" s="87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7">
        <v>10</v>
      </c>
      <c r="R19" s="2">
        <f t="shared" si="1"/>
        <v>0</v>
      </c>
    </row>
    <row r="20" spans="4:21" ht="24" customHeight="1">
      <c r="F20" s="87"/>
      <c r="G20" s="87"/>
      <c r="H20" s="5"/>
      <c r="I20" s="5"/>
      <c r="K20" s="87"/>
      <c r="L20" s="87"/>
      <c r="M20" s="87"/>
      <c r="N20" s="5"/>
      <c r="O20" s="5"/>
      <c r="P20" s="2" t="b">
        <f>AND($K$1=2,$L$1=4,$M$1&gt;20)</f>
        <v>0</v>
      </c>
      <c r="Q20" s="95">
        <v>20</v>
      </c>
      <c r="R20" s="2">
        <f t="shared" ref="R20" si="8">IF(P20=TRUE,Q20,0)</f>
        <v>0</v>
      </c>
    </row>
    <row r="21" spans="4:21" ht="12.75" customHeight="1" thickBot="1">
      <c r="F21" s="196"/>
      <c r="G21" s="196"/>
      <c r="H21" s="87"/>
      <c r="I21" s="87"/>
      <c r="K21" s="87"/>
      <c r="L21" s="196"/>
      <c r="M21" s="196"/>
      <c r="N21" s="87"/>
      <c r="O21" s="87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8"/>
      <c r="E22" s="89"/>
      <c r="F22" s="90" t="s">
        <v>2</v>
      </c>
      <c r="G22" s="91" t="s">
        <v>3</v>
      </c>
      <c r="H22" s="49"/>
      <c r="I22" s="49"/>
      <c r="J22" s="88"/>
      <c r="K22" s="89"/>
      <c r="L22" s="90" t="s">
        <v>2</v>
      </c>
      <c r="M22" s="91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4.4'!$C$3&lt;=3,'Simulazione 4.4'!$C$3&gt;=1)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7">
        <f t="shared" ref="H23:H28" si="11">IF(D23=TRUE,F23,0)</f>
        <v>0</v>
      </c>
      <c r="I23" s="87">
        <f t="shared" ref="I23:I28" si="12">IF(D23=TRUE,G23,0)</f>
        <v>0</v>
      </c>
      <c r="J23" s="22" t="b">
        <f>AND($D$1=2,$D$7=2,'Simulazione 4.4'!$C$3&lt;=3,'Simulazione 4.4'!$C$3&gt;=1)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4.4'!$C$3&lt;=20,'Simulazione 4.4'!$C$3&gt;3)</f>
        <v>0</v>
      </c>
      <c r="E24" s="28" t="s">
        <v>7</v>
      </c>
      <c r="F24" s="51">
        <v>171</v>
      </c>
      <c r="G24" s="52">
        <f t="shared" si="10"/>
        <v>89</v>
      </c>
      <c r="H24" s="87">
        <f t="shared" si="11"/>
        <v>0</v>
      </c>
      <c r="I24" s="87">
        <f t="shared" si="12"/>
        <v>0</v>
      </c>
      <c r="J24" s="22" t="b">
        <f>AND($D$1=2,$D$7=2,'Simulazione 4.4'!$C$3&lt;=20,'Simulazione 4.4'!$C$3&gt;3)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4.4'!$C$3&lt;=200,'Simulazione 4.4'!$C$3&gt;20)</f>
        <v>0</v>
      </c>
      <c r="E25" s="28" t="s">
        <v>8</v>
      </c>
      <c r="F25" s="51">
        <v>157</v>
      </c>
      <c r="G25" s="52">
        <f t="shared" si="10"/>
        <v>75</v>
      </c>
      <c r="H25" s="87">
        <f t="shared" si="11"/>
        <v>0</v>
      </c>
      <c r="I25" s="87">
        <f t="shared" si="12"/>
        <v>0</v>
      </c>
      <c r="J25" s="22" t="b">
        <f>AND($D$1=2,$D$7=2,'Simulazione 4.4'!$C$3&lt;=200,'Simulazione 4.4'!$C$3&gt;20)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4.4'!$C$3&lt;=1000,'Simulazione 4.4'!$C$3&gt;200)</f>
        <v>0</v>
      </c>
      <c r="E26" s="28" t="s">
        <v>9</v>
      </c>
      <c r="F26" s="47">
        <v>130</v>
      </c>
      <c r="G26" s="48">
        <f t="shared" si="10"/>
        <v>48</v>
      </c>
      <c r="H26" s="87">
        <f t="shared" si="11"/>
        <v>0</v>
      </c>
      <c r="I26" s="87">
        <f t="shared" si="12"/>
        <v>0</v>
      </c>
      <c r="J26" s="22" t="b">
        <f>AND($D$1=2,$D$7=2,'Simulazione 4.4'!$C$3&lt;=1000,'Simulazione 4.4'!$C$3&gt;200)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4.4'!$C$3&lt;=5000,'Simulazione 4.4'!$C$3&gt;1000)</f>
        <v>0</v>
      </c>
      <c r="E27" s="28" t="s">
        <v>10</v>
      </c>
      <c r="F27" s="51">
        <v>118</v>
      </c>
      <c r="G27" s="52">
        <f t="shared" si="10"/>
        <v>36</v>
      </c>
      <c r="H27" s="87">
        <f t="shared" si="11"/>
        <v>0</v>
      </c>
      <c r="I27" s="87">
        <f t="shared" si="12"/>
        <v>0</v>
      </c>
      <c r="J27" s="22" t="b">
        <f>AND($D$1=2,$D$7=2,'Simulazione 4.4'!$C$3&lt;=5000,'Simulazione 4.4'!$C$3&gt;1000)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40</v>
      </c>
    </row>
    <row r="28" spans="4:21" s="50" customFormat="1" ht="16.5" thickBot="1">
      <c r="D28" s="29" t="b">
        <f>AND($D$1=2,$D$7=1,'Simulazione 4.4'!$C$3&gt;=5000)</f>
        <v>0</v>
      </c>
      <c r="E28" s="35" t="s">
        <v>11</v>
      </c>
      <c r="F28" s="57">
        <v>112</v>
      </c>
      <c r="G28" s="58">
        <f t="shared" si="10"/>
        <v>30</v>
      </c>
      <c r="H28" s="87">
        <f t="shared" si="11"/>
        <v>0</v>
      </c>
      <c r="I28" s="87">
        <f t="shared" si="12"/>
        <v>0</v>
      </c>
      <c r="J28" s="29" t="b">
        <f>AND($D$1=2,$D$7=2,'Simulazione 4.4'!$C$3&gt;=5000)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76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67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8"/>
      <c r="E32" s="89"/>
      <c r="F32" s="90" t="s">
        <v>2</v>
      </c>
      <c r="G32" s="91" t="s">
        <v>3</v>
      </c>
      <c r="H32" s="49"/>
      <c r="I32" s="49"/>
      <c r="J32" s="88"/>
      <c r="K32" s="89"/>
      <c r="L32" s="90" t="s">
        <v>2</v>
      </c>
      <c r="M32" s="91" t="s">
        <v>3</v>
      </c>
      <c r="N32" s="47"/>
      <c r="O32" s="47"/>
      <c r="Q32" s="59" t="s">
        <v>68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4.4'!$C$3&lt;=3,'Simulazione 4.4'!$C$3&gt;=1)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7">
        <f t="shared" ref="H33:H38" si="18">IF(D33=TRUE,F33,0)</f>
        <v>0</v>
      </c>
      <c r="I33" s="87">
        <f t="shared" ref="I33:I38" si="19">IF(D33=TRUE,G33,0)</f>
        <v>0</v>
      </c>
      <c r="J33" s="22" t="b">
        <f>AND($D$1=3,$D$7=2,'Simulazione 4.4'!$C$3&lt;=3,'Simulazione 4.4'!$C$3&gt;=1)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69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4.4'!$C$3&lt;=20,'Simulazione 4.4'!$C$3&gt;3)</f>
        <v>0</v>
      </c>
      <c r="E34" s="28" t="s">
        <v>7</v>
      </c>
      <c r="F34" s="51">
        <v>149</v>
      </c>
      <c r="G34" s="52">
        <f t="shared" si="17"/>
        <v>67</v>
      </c>
      <c r="H34" s="87">
        <f t="shared" si="18"/>
        <v>0</v>
      </c>
      <c r="I34" s="87">
        <f t="shared" si="19"/>
        <v>0</v>
      </c>
      <c r="J34" s="22" t="b">
        <f>AND($D$1=3,$D$7=2,'Simulazione 4.4'!$C$3&lt;=20,'Simulazione 4.4'!$C$3&gt;3)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70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4.4'!$C$3&lt;=200,'Simulazione 4.4'!$C$3&gt;20)</f>
        <v>0</v>
      </c>
      <c r="E35" s="28" t="s">
        <v>8</v>
      </c>
      <c r="F35" s="51">
        <v>141</v>
      </c>
      <c r="G35" s="52">
        <f t="shared" si="17"/>
        <v>59</v>
      </c>
      <c r="H35" s="87">
        <f t="shared" si="18"/>
        <v>0</v>
      </c>
      <c r="I35" s="87">
        <f t="shared" si="19"/>
        <v>0</v>
      </c>
      <c r="J35" s="22" t="b">
        <f>AND($D$1=3,$D$7=2,'Simulazione 4.4'!$C$3&lt;=200,'Simulazione 4.4'!$C$3&gt;20)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71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4.4'!$C$3&lt;=1000,'Simulazione 4.4'!$C$3&gt;200)</f>
        <v>0</v>
      </c>
      <c r="E36" s="28" t="s">
        <v>9</v>
      </c>
      <c r="F36" s="47">
        <v>118</v>
      </c>
      <c r="G36" s="48">
        <f t="shared" si="17"/>
        <v>36</v>
      </c>
      <c r="H36" s="87">
        <f t="shared" si="18"/>
        <v>0</v>
      </c>
      <c r="I36" s="87">
        <f t="shared" si="19"/>
        <v>0</v>
      </c>
      <c r="J36" s="22" t="b">
        <f>AND($D$1=3,$D$7=2,'Simulazione 4.4'!$C$3&lt;=1000,'Simulazione 4.4'!$C$3&gt;200)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72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4.4'!$C$3&lt;=5000,'Simulazione 4.4'!$C$3&gt;1000)</f>
        <v>0</v>
      </c>
      <c r="E37" s="28" t="s">
        <v>10</v>
      </c>
      <c r="F37" s="51">
        <v>110</v>
      </c>
      <c r="G37" s="52">
        <f t="shared" si="17"/>
        <v>28</v>
      </c>
      <c r="H37" s="87">
        <f t="shared" si="18"/>
        <v>0</v>
      </c>
      <c r="I37" s="87">
        <f t="shared" si="19"/>
        <v>0</v>
      </c>
      <c r="J37" s="22" t="b">
        <f>AND($D$1=3,$D$7=2,'Simulazione 4.4'!$C$3&lt;=5000,'Simulazione 4.4'!$C$3&gt;1000)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73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4.4'!$C$3&gt;=5000)</f>
        <v>0</v>
      </c>
      <c r="E38" s="35" t="s">
        <v>11</v>
      </c>
      <c r="F38" s="57">
        <v>104</v>
      </c>
      <c r="G38" s="58">
        <f t="shared" si="17"/>
        <v>22</v>
      </c>
      <c r="H38" s="87">
        <f t="shared" si="18"/>
        <v>0</v>
      </c>
      <c r="I38" s="87">
        <f t="shared" si="19"/>
        <v>0</v>
      </c>
      <c r="J38" s="29" t="b">
        <f>AND($D$1=3,$D$7=2,'Simulazione 4.4'!$C$3&gt;=5000)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74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75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2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8"/>
      <c r="E44" s="89"/>
      <c r="F44" s="90" t="s">
        <v>2</v>
      </c>
      <c r="G44" s="91" t="s">
        <v>3</v>
      </c>
      <c r="H44" s="49"/>
      <c r="I44" s="49"/>
      <c r="J44" s="88"/>
      <c r="K44" s="89"/>
      <c r="L44" s="90" t="s">
        <v>2</v>
      </c>
      <c r="M44" s="91" t="s">
        <v>3</v>
      </c>
      <c r="N44" s="47"/>
      <c r="O44" s="47"/>
      <c r="P44" s="87"/>
      <c r="Q44" s="59"/>
      <c r="S44" s="50"/>
    </row>
    <row r="45" spans="4:21" ht="15.75">
      <c r="D45" s="22" t="b">
        <f>AND($D$1=4,$D$7=1,'Simulazione 4.4'!$C$3&lt;=3,'Simulazione 4.4'!$C$3&gt;=1)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7">
        <f t="shared" ref="H45:H50" si="24">IF(D45=TRUE,F45,0)</f>
        <v>0</v>
      </c>
      <c r="I45" s="87">
        <f t="shared" ref="I45:I50" si="25">IF(D45=TRUE,G45,0)</f>
        <v>0</v>
      </c>
      <c r="J45" s="22" t="b">
        <f>AND($D$1=4,$D$7=2,'Simulazione 4.4'!$C$3&lt;=3,'Simulazione 4.4'!$C$3&gt;=1)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7"/>
      <c r="Q45" s="59"/>
      <c r="S45" s="50"/>
    </row>
    <row r="46" spans="4:21" ht="15.75">
      <c r="D46" s="22" t="b">
        <f>AND($D$1=4,$D$7=1,'Simulazione 4.4'!$C$3&lt;=20,'Simulazione 4.4'!$C$3&gt;3)</f>
        <v>0</v>
      </c>
      <c r="E46" s="28" t="s">
        <v>7</v>
      </c>
      <c r="F46" s="51">
        <v>137</v>
      </c>
      <c r="G46" s="52">
        <f t="shared" si="23"/>
        <v>55</v>
      </c>
      <c r="H46" s="87">
        <f t="shared" si="24"/>
        <v>0</v>
      </c>
      <c r="I46" s="87">
        <f t="shared" si="25"/>
        <v>0</v>
      </c>
      <c r="J46" s="22" t="b">
        <f>AND($D$1=4,$D$7=2,'Simulazione 4.4'!$C$3&lt;=20,'Simulazione 4.4'!$C$3&gt;3)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4.4'!$C$3&lt;=200,'Simulazione 4.4'!$C$3&gt;20)</f>
        <v>0</v>
      </c>
      <c r="E47" s="28" t="s">
        <v>8</v>
      </c>
      <c r="F47" s="51">
        <v>131</v>
      </c>
      <c r="G47" s="52">
        <f t="shared" si="23"/>
        <v>49</v>
      </c>
      <c r="H47" s="87">
        <f t="shared" si="24"/>
        <v>0</v>
      </c>
      <c r="I47" s="87">
        <f t="shared" si="25"/>
        <v>0</v>
      </c>
      <c r="J47" s="22" t="b">
        <f>AND($D$1=4,$D$7=2,'Simulazione 4.4'!$C$3&lt;=200,'Simulazione 4.4'!$C$3&gt;20)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78</v>
      </c>
      <c r="S47" s="50"/>
    </row>
    <row r="48" spans="4:21" ht="15.75">
      <c r="D48" s="22" t="b">
        <f>AND($D$1=4,$D$7=1,'Simulazione 4.4'!$C$3&lt;=1000,'Simulazione 4.4'!$C$3&gt;200)</f>
        <v>0</v>
      </c>
      <c r="E48" s="28" t="s">
        <v>9</v>
      </c>
      <c r="F48" s="47">
        <v>111</v>
      </c>
      <c r="G48" s="48">
        <f t="shared" si="23"/>
        <v>29</v>
      </c>
      <c r="H48" s="87">
        <f t="shared" si="24"/>
        <v>0</v>
      </c>
      <c r="I48" s="87">
        <f t="shared" si="25"/>
        <v>0</v>
      </c>
      <c r="J48" s="22" t="b">
        <f>AND($D$1=4,$D$7=2,'Simulazione 4.4'!$C$3&lt;=1000,'Simulazione 4.4'!$C$3&gt;200)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4.4'!$C$3&lt;=5000,'Simulazione 4.4'!$C$3&gt;1000)</f>
        <v>0</v>
      </c>
      <c r="E49" s="28" t="s">
        <v>10</v>
      </c>
      <c r="F49" s="51">
        <v>105</v>
      </c>
      <c r="G49" s="52">
        <f t="shared" si="23"/>
        <v>23</v>
      </c>
      <c r="H49" s="87">
        <f t="shared" si="24"/>
        <v>0</v>
      </c>
      <c r="I49" s="87">
        <f t="shared" si="25"/>
        <v>0</v>
      </c>
      <c r="J49" s="22" t="b">
        <f>AND($D$1=4,$D$7=2,'Simulazione 4.4'!$C$3&lt;=5000,'Simulazione 4.4'!$C$3&gt;1000)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4.4'!$C$3&gt;=5000)</f>
        <v>0</v>
      </c>
      <c r="E50" s="35" t="s">
        <v>11</v>
      </c>
      <c r="F50" s="57">
        <v>99</v>
      </c>
      <c r="G50" s="58">
        <f t="shared" si="23"/>
        <v>17</v>
      </c>
      <c r="H50" s="87">
        <f t="shared" si="24"/>
        <v>0</v>
      </c>
      <c r="I50" s="87">
        <f t="shared" si="25"/>
        <v>0</v>
      </c>
      <c r="J50" s="29" t="b">
        <f>AND($D$1=4,$D$7=2,'Simulazione 4.4'!$C$3&gt;=5000)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8" t="b">
        <f>AND(Q49=1,'Simulazione 4.4'!C31&lt;'Simulazione 4.4'!C30)</f>
        <v>1</v>
      </c>
      <c r="S52" s="6">
        <f>IF(Q52=TRUE,'Simulazione 4.4'!$C$31/100*Calcoli!$S$41,0)</f>
        <v>5000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8" t="b">
        <f>AND(Q49=1,'Simulazione 4.4'!C31&gt;'Simulazione 4.4'!C30)</f>
        <v>0</v>
      </c>
      <c r="S53" s="6" t="b">
        <f>IF(Q53=TRUE,'Simulazione 4.4'!$C$30/100*Calcoli!$S$41)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5000</v>
      </c>
    </row>
    <row r="57" spans="4:19" ht="15.75" thickBot="1"/>
    <row r="58" spans="4:19" ht="15.75">
      <c r="D58" s="88"/>
      <c r="E58" s="89"/>
      <c r="F58" s="90" t="s">
        <v>2</v>
      </c>
      <c r="G58" s="91" t="s">
        <v>3</v>
      </c>
      <c r="H58" s="49"/>
      <c r="I58" s="49"/>
      <c r="J58" s="88"/>
      <c r="K58" s="89"/>
      <c r="L58" s="90" t="s">
        <v>2</v>
      </c>
      <c r="M58" s="91" t="s">
        <v>3</v>
      </c>
      <c r="N58" s="47"/>
      <c r="O58" s="47"/>
      <c r="P58" s="87"/>
    </row>
    <row r="59" spans="4:19" ht="15.75">
      <c r="D59" s="22" t="b">
        <f>AND($D$1=5,$D$7=1,'Simulazione 4.4'!$C$3&lt;=3,'Simulazione 4.4'!$C$3&gt;=1)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7">
        <f t="shared" ref="I59:I64" si="31">IF(D59=TRUE,G59,0)</f>
        <v>0</v>
      </c>
      <c r="J59" s="22" t="b">
        <f>AND($D$1=5,$D$7=2,'Simulazione 4.4'!$C$3&lt;=3,'Simulazione 4.4'!$C$3&gt;=1)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7"/>
    </row>
    <row r="60" spans="4:19" ht="15.75">
      <c r="D60" s="22" t="b">
        <f>AND($D$1=5,$D$7=1,'Simulazione 4.4'!$C$3&lt;=20,'Simulazione 4.4'!$C$3&gt;3)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7">
        <f t="shared" si="31"/>
        <v>0</v>
      </c>
      <c r="J60" s="22" t="b">
        <f>AND($D$1=5,$D$7=2,'Simulazione 4.4'!$C$3&lt;=20,'Simulazione 4.4'!$C$3&gt;3)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4.4'!$C$3&lt;=200,'Simulazione 4.4'!$C$3&gt;20)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7">
        <f t="shared" si="31"/>
        <v>0</v>
      </c>
      <c r="J61" s="22" t="b">
        <f>AND($D$1=5,$D$7=2,'Simulazione 4.4'!$C$3&lt;=200,'Simulazione 4.4'!$C$3&gt;20)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4.4'!$C$3&lt;=1000,'Simulazione 4.4'!$C$3&gt;200)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7">
        <f t="shared" si="31"/>
        <v>0</v>
      </c>
      <c r="J62" s="22" t="b">
        <f>AND($D$1=5,$D$7=2,'Simulazione 4.4'!$C$3&lt;=1000,'Simulazione 4.4'!$C$3&gt;200)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4.4'!$C$3&lt;=5000,'Simulazione 4.4'!$C$3&gt;1000)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7">
        <f t="shared" si="31"/>
        <v>0</v>
      </c>
      <c r="J63" s="22" t="b">
        <f>AND($D$1=5,$D$7=2,'Simulazione 4.4'!$C$3&lt;=5000,'Simulazione 4.4'!$C$3&gt;1000)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4.4'!$C$3&gt;=5000)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7">
        <f t="shared" si="31"/>
        <v>0</v>
      </c>
      <c r="J64" s="29" t="b">
        <f>AND($D$1=5,$D$7=2,'Simulazione 4.4'!$C$3&gt;=5000)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8">
        <f>IF($D$76&gt;1,'Simulazione 4.4'!E57+'Simulazione 4.4'!E58+'Simulazione 4.4'!E59+'Simulazione 4.4'!E60-'Simulazione 4.4'!E64,0)</f>
        <v>8008.24</v>
      </c>
      <c r="E67" s="108">
        <f>IF($D$76&gt;1,'Simulazione 4.4'!F57+'Simulazione 4.4'!F58+'Simulazione 4.4'!F59+'Simulazione 4.4'!F60-'Simulazione 4.4'!F64,0)</f>
        <v>3922.8239999999996</v>
      </c>
      <c r="F67" s="108">
        <f>IF($D$76&gt;1,'Simulazione 4.4'!G57+'Simulazione 4.4'!G58+'Simulazione 4.4'!G59+'Simulazione 4.4'!G60-'Simulazione 4.4'!G64,0)</f>
        <v>3804.0071040000012</v>
      </c>
      <c r="G67" s="108">
        <f>IF($D$76&gt;1,'Simulazione 4.4'!H57+'Simulazione 4.4'!H58+'Simulazione 4.4'!H59+'Simulazione 4.4'!H60-'Simulazione 4.4'!H64,0)</f>
        <v>3686.0170040639978</v>
      </c>
      <c r="H67" s="108">
        <f>IF($D$76&gt;1,'Simulazione 4.4'!I57+'Simulazione 4.4'!I58+'Simulazione 4.4'!I59+'Simulazione 4.4'!I60-'Simulazione 4.4'!I64,0)</f>
        <v>3568.84140790742</v>
      </c>
      <c r="I67" s="108">
        <f>IF($D$76&gt;1,'Simulazione 4.4'!J57+'Simulazione 4.4'!J58+'Simulazione 4.4'!J59+'Simulazione 4.4'!J60-'Simulazione 4.4'!J64,0)</f>
        <v>3452.4680368538511</v>
      </c>
      <c r="J67" s="108">
        <f>IF($D$76&gt;1,'Simulazione 4.4'!K57+'Simulazione 4.4'!K58+'Simulazione 4.4'!K59+'Simulazione 4.4'!K60-'Simulazione 4.4'!K64,0)</f>
        <v>3336.88462377212</v>
      </c>
      <c r="K67" s="108">
        <f>IF($D$76&gt;1,'Simulazione 4.4'!L57+'Simulazione 4.4'!L58+'Simulazione 4.4'!L59+'Simulazione 4.4'!L60-'Simulazione 4.4'!L64,0)</f>
        <v>3222.0789109931202</v>
      </c>
      <c r="L67" s="108">
        <f>IF($D$76&gt;1,'Simulazione 4.4'!M57+'Simulazione 4.4'!M58+'Simulazione 4.4'!M59+'Simulazione 4.4'!M60-'Simulazione 4.4'!M64,0)</f>
        <v>3108.038648205832</v>
      </c>
      <c r="M67" s="108">
        <f>IF($D$76&gt;1,'Simulazione 4.4'!N57+'Simulazione 4.4'!N58+'Simulazione 4.4'!N59+'Simulazione 4.4'!N60-'Simulazione 4.4'!N64,0)</f>
        <v>2994.751590331859</v>
      </c>
      <c r="N67" s="108">
        <f>IF($D$76&gt;1,'Simulazione 4.4'!O57+'Simulazione 4.4'!O58+'Simulazione 4.4'!O59+'Simulazione 4.4'!O60-'Simulazione 4.4'!O64,0)</f>
        <v>2882.2054953779561</v>
      </c>
      <c r="O67" s="108">
        <f>IF($D$76&gt;1,'Simulazione 4.4'!P57+'Simulazione 4.4'!P58+'Simulazione 4.4'!P59+'Simulazione 4.4'!P60-'Simulazione 4.4'!P64,0)</f>
        <v>5854.8681222658051</v>
      </c>
      <c r="P67" s="108">
        <f>IF($D$76&gt;1,'Simulazione 4.4'!Q57+'Simulazione 4.4'!Q58+'Simulazione 4.4'!Q59+'Simulazione 4.4'!Q60-'Simulazione 4.4'!Q64,0)</f>
        <v>10590.807228638609</v>
      </c>
      <c r="Q67" s="108">
        <f>IF($D$76&gt;1,'Simulazione 4.4'!R57+'Simulazione 4.4'!R58+'Simulazione 4.4'!R59+'Simulazione 4.4'!R60-'Simulazione 4.4'!R64,0)</f>
        <v>10480.410568643512</v>
      </c>
      <c r="R67" s="108">
        <f>IF($D$76&gt;1,'Simulazione 4.4'!S57+'Simulazione 4.4'!S58+'Simulazione 4.4'!S59+'Simulazione 4.4'!S60-'Simulazione 4.4'!S64,0)</f>
        <v>10370.705890689624</v>
      </c>
      <c r="S67" s="108">
        <f>IF($D$76&gt;1,'Simulazione 4.4'!T57+'Simulazione 4.4'!T58+'Simulazione 4.4'!T59+'Simulazione 4.4'!T60-'Simulazione 4.4'!T64,0)</f>
        <v>10261.680935180599</v>
      </c>
      <c r="T67" s="108">
        <f>IF($D$76&gt;1,'Simulazione 4.4'!U57+'Simulazione 4.4'!U58+'Simulazione 4.4'!U59+'Simulazione 4.4'!U60-'Simulazione 4.4'!U64,0)</f>
        <v>10153.323432221299</v>
      </c>
      <c r="U67" s="108">
        <f>IF($D$76&gt;1,'Simulazione 4.4'!V57+'Simulazione 4.4'!V58+'Simulazione 4.4'!V59+'Simulazione 4.4'!V60-'Simulazione 4.4'!V64,0)</f>
        <v>10045.621099297781</v>
      </c>
      <c r="V67" s="108">
        <f>IF($D$76&gt;1,'Simulazione 4.4'!W57+'Simulazione 4.4'!W58+'Simulazione 4.4'!W59+'Simulazione 4.4'!W60-'Simulazione 4.4'!W64,0)</f>
        <v>9938.561638929903</v>
      </c>
      <c r="W67" s="108">
        <f>IF($D$76&gt;1,'Simulazione 4.4'!X57+'Simulazione 4.4'!X58+'Simulazione 4.4'!X59+'Simulazione 4.4'!X60-'Simulazione 4.4'!X64,0)</f>
        <v>9832.1327362958509</v>
      </c>
      <c r="X67" s="108">
        <f>IF($D$76&gt;1,'Simulazione 4.4'!Y57+'Simulazione 4.4'!Y58+'Simulazione 4.4'!Y59+'Simulazione 4.4'!Y60-'Simulazione 4.4'!Y64,0)</f>
        <v>1284.9074541695181</v>
      </c>
      <c r="Y67" s="108">
        <f>IF($D$76&gt;1,'Simulazione 4.4'!Z57+'Simulazione 4.4'!Z58+'Simulazione 4.4'!Z59+'Simulazione 4.4'!Z60-'Simulazione 4.4'!Z64,0)</f>
        <v>1310.6056032529084</v>
      </c>
      <c r="Z67" s="108">
        <f>IF($D$76&gt;1,'Simulazione 4.4'!AA57+'Simulazione 4.4'!AA58+'Simulazione 4.4'!AA59+'Simulazione 4.4'!AA60-'Simulazione 4.4'!AA64,0)</f>
        <v>1336.8177153179665</v>
      </c>
      <c r="AA67" s="108">
        <f>IF($D$76&gt;1,'Simulazione 4.4'!AB57+'Simulazione 4.4'!AB58+'Simulazione 4.4'!AB59+'Simulazione 4.4'!AB60-'Simulazione 4.4'!AB64,0)</f>
        <v>1363.5540696243258</v>
      </c>
      <c r="AB67" s="108">
        <f>IF($D$76&gt;1,'Simulazione 4.4'!AC57+'Simulazione 4.4'!AC58+'Simulazione 4.4'!AC59+'Simulazione 4.4'!AC60-'Simulazione 4.4'!AC64,0)</f>
        <v>1390.8251510168122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95</v>
      </c>
    </row>
    <row r="71" spans="3:28">
      <c r="C71" s="6">
        <v>2</v>
      </c>
      <c r="D71" s="6" t="s">
        <v>119</v>
      </c>
      <c r="I71" s="68" t="s">
        <v>92</v>
      </c>
      <c r="L71" s="68" t="s">
        <v>136</v>
      </c>
      <c r="N71" s="6" t="s">
        <v>141</v>
      </c>
    </row>
    <row r="72" spans="3:28">
      <c r="C72" s="6">
        <v>3</v>
      </c>
      <c r="D72" s="6" t="s">
        <v>118</v>
      </c>
      <c r="I72" s="6" t="b">
        <f>OR(D76=2,D76=3,D76=4)</f>
        <v>1</v>
      </c>
      <c r="L72" s="6" t="b">
        <f>OR(D76=C70,D76=6)</f>
        <v>0</v>
      </c>
      <c r="M72" s="6">
        <v>1</v>
      </c>
      <c r="N72" s="6" t="b">
        <f>AND('Simulazione 4.4'!$C$3&lt;=50)</f>
        <v>1</v>
      </c>
      <c r="O72" s="6">
        <v>120</v>
      </c>
      <c r="P72" s="6">
        <f>IF(N72=TRUE,O72,0)</f>
        <v>120</v>
      </c>
    </row>
    <row r="73" spans="3:28">
      <c r="C73" s="6">
        <v>4</v>
      </c>
      <c r="D73" s="6" t="s">
        <v>117</v>
      </c>
      <c r="I73" s="68" t="s">
        <v>133</v>
      </c>
      <c r="M73" s="6">
        <v>2</v>
      </c>
      <c r="N73" s="6" t="b">
        <f>AND('Simulazione 4.4'!$C$3&lt;=100,'Simulazione 4.4'!$C$3&gt;50)</f>
        <v>0</v>
      </c>
      <c r="O73" s="6">
        <v>240</v>
      </c>
      <c r="P73" s="6">
        <f>IF(N73=TRUE,O73,0)</f>
        <v>0</v>
      </c>
      <c r="Q73" s="117"/>
    </row>
    <row r="74" spans="3:28">
      <c r="C74" s="6">
        <v>5</v>
      </c>
      <c r="D74" s="6" t="s">
        <v>131</v>
      </c>
      <c r="I74" s="6" t="b">
        <f>OR(D76=3,D76=4,D76=5)</f>
        <v>1</v>
      </c>
      <c r="M74" s="6">
        <v>3</v>
      </c>
      <c r="N74" s="6" t="b">
        <f>AND('Simulazione 4.4'!$C$3&lt;=500,'Simulazione 4.4'!$C$3&gt;100)</f>
        <v>0</v>
      </c>
      <c r="O74" s="6">
        <v>500</v>
      </c>
      <c r="P74" s="6">
        <f>IF(N74=TRUE,O74,0)</f>
        <v>0</v>
      </c>
      <c r="Q74" s="117"/>
    </row>
    <row r="75" spans="3:28">
      <c r="C75" s="6">
        <v>6</v>
      </c>
      <c r="D75" s="6" t="s">
        <v>132</v>
      </c>
      <c r="I75" s="68" t="s">
        <v>134</v>
      </c>
      <c r="M75" s="6">
        <v>4</v>
      </c>
      <c r="N75" s="6" t="b">
        <f>AND('Simulazione 4.4'!$C$3&lt;=1000,'Simulazione 4.4'!$C$3&gt;500)</f>
        <v>0</v>
      </c>
      <c r="O75" s="6">
        <v>1500</v>
      </c>
      <c r="P75" s="6">
        <f>IF(N75=TRUE,O75,0)</f>
        <v>0</v>
      </c>
      <c r="Q75" s="119"/>
    </row>
    <row r="76" spans="3:28">
      <c r="D76" s="98">
        <v>3</v>
      </c>
      <c r="I76" s="6" t="b">
        <f>OR(D76=2,D76=3)</f>
        <v>1</v>
      </c>
      <c r="M76" s="6">
        <v>5</v>
      </c>
      <c r="N76" s="6" t="b">
        <f>AND('Simulazione 4.4'!$C$3&gt;1000)</f>
        <v>0</v>
      </c>
      <c r="O76" s="6">
        <v>2500</v>
      </c>
      <c r="P76" s="6">
        <f>IF(N76=TRUE,O76,0)</f>
        <v>0</v>
      </c>
    </row>
    <row r="77" spans="3:28">
      <c r="I77" s="68" t="s">
        <v>135</v>
      </c>
      <c r="O77" s="6">
        <f>'Simulazione 4.4'!C3-'Simulazione 4.4'!C4</f>
        <v>33</v>
      </c>
      <c r="P77" s="68">
        <f>SUM(P72:P76)</f>
        <v>120</v>
      </c>
    </row>
    <row r="78" spans="3:28">
      <c r="D78" s="6" t="s">
        <v>89</v>
      </c>
      <c r="F78" s="6">
        <f>'Simulazione 4.4'!C3*'Simulazione 4.4'!C37</f>
        <v>88128</v>
      </c>
      <c r="I78" s="6" t="b">
        <f>OR(D76=4,D76=5)</f>
        <v>0</v>
      </c>
    </row>
    <row r="79" spans="3:28">
      <c r="D79" s="6" t="s">
        <v>88</v>
      </c>
      <c r="F79" s="6">
        <f>IF(D76&gt;1,('Simulazione 4.4'!C37*'Simulazione 4.4'!C3)/100*'Simulazione 4.4'!$K$9,0)</f>
        <v>7931.5199999999995</v>
      </c>
    </row>
    <row r="81" spans="3:28">
      <c r="D81" s="108">
        <f>$F$78</f>
        <v>88128</v>
      </c>
      <c r="E81" s="108">
        <f>$F$78</f>
        <v>88128</v>
      </c>
      <c r="F81" s="108">
        <f>$F$78</f>
        <v>88128</v>
      </c>
      <c r="G81" s="108">
        <f t="shared" ref="G81:AB81" si="35">$F$78</f>
        <v>88128</v>
      </c>
      <c r="H81" s="108">
        <f t="shared" si="35"/>
        <v>88128</v>
      </c>
      <c r="I81" s="108">
        <f t="shared" si="35"/>
        <v>88128</v>
      </c>
      <c r="J81" s="108">
        <f t="shared" si="35"/>
        <v>88128</v>
      </c>
      <c r="K81" s="108">
        <f t="shared" si="35"/>
        <v>88128</v>
      </c>
      <c r="L81" s="108">
        <f t="shared" si="35"/>
        <v>88128</v>
      </c>
      <c r="M81" s="108">
        <f t="shared" si="35"/>
        <v>88128</v>
      </c>
      <c r="N81" s="108">
        <f t="shared" si="35"/>
        <v>88128</v>
      </c>
      <c r="O81" s="108">
        <f t="shared" si="35"/>
        <v>88128</v>
      </c>
      <c r="P81" s="108">
        <f t="shared" si="35"/>
        <v>88128</v>
      </c>
      <c r="Q81" s="108">
        <f t="shared" si="35"/>
        <v>88128</v>
      </c>
      <c r="R81" s="108">
        <f t="shared" si="35"/>
        <v>88128</v>
      </c>
      <c r="S81" s="108">
        <f t="shared" si="35"/>
        <v>88128</v>
      </c>
      <c r="T81" s="108">
        <f t="shared" si="35"/>
        <v>88128</v>
      </c>
      <c r="U81" s="108">
        <f t="shared" si="35"/>
        <v>88128</v>
      </c>
      <c r="V81" s="108">
        <f t="shared" si="35"/>
        <v>88128</v>
      </c>
      <c r="W81" s="108">
        <f t="shared" si="35"/>
        <v>88128</v>
      </c>
      <c r="X81" s="108">
        <f t="shared" si="35"/>
        <v>88128</v>
      </c>
      <c r="Y81" s="108">
        <f t="shared" si="35"/>
        <v>88128</v>
      </c>
      <c r="Z81" s="108">
        <f t="shared" si="35"/>
        <v>88128</v>
      </c>
      <c r="AA81" s="108">
        <f t="shared" si="35"/>
        <v>88128</v>
      </c>
      <c r="AB81" s="108">
        <f t="shared" si="35"/>
        <v>88128</v>
      </c>
    </row>
    <row r="82" spans="3:28">
      <c r="C82" s="108"/>
      <c r="D82" s="108">
        <f>$F$78/100*'Simulazione 4.4'!$K$9/2</f>
        <v>3965.7599999999998</v>
      </c>
      <c r="E82" s="108">
        <f>D82+$F$79</f>
        <v>11897.279999999999</v>
      </c>
      <c r="F82" s="108">
        <f t="shared" ref="F82:W82" si="36">E82+$F$79</f>
        <v>19828.8</v>
      </c>
      <c r="G82" s="108">
        <f t="shared" si="36"/>
        <v>27760.32</v>
      </c>
      <c r="H82" s="108">
        <f t="shared" si="36"/>
        <v>35691.839999999997</v>
      </c>
      <c r="I82" s="108">
        <f t="shared" si="36"/>
        <v>43623.359999999993</v>
      </c>
      <c r="J82" s="108">
        <f t="shared" si="36"/>
        <v>51554.87999999999</v>
      </c>
      <c r="K82" s="108">
        <f t="shared" si="36"/>
        <v>59486.399999999987</v>
      </c>
      <c r="L82" s="108">
        <f t="shared" si="36"/>
        <v>67417.919999999984</v>
      </c>
      <c r="M82" s="108">
        <f t="shared" si="36"/>
        <v>75349.439999999988</v>
      </c>
      <c r="N82" s="108">
        <f t="shared" si="36"/>
        <v>83280.959999999992</v>
      </c>
      <c r="O82" s="108">
        <f t="shared" si="36"/>
        <v>91212.479999999996</v>
      </c>
      <c r="P82" s="108">
        <f t="shared" si="36"/>
        <v>99144</v>
      </c>
      <c r="Q82" s="108">
        <f t="shared" si="36"/>
        <v>107075.52</v>
      </c>
      <c r="R82" s="108">
        <f t="shared" si="36"/>
        <v>115007.04000000001</v>
      </c>
      <c r="S82" s="108">
        <f t="shared" si="36"/>
        <v>122938.56000000001</v>
      </c>
      <c r="T82" s="108">
        <f t="shared" si="36"/>
        <v>130870.08000000002</v>
      </c>
      <c r="U82" s="108">
        <f t="shared" si="36"/>
        <v>138801.60000000001</v>
      </c>
      <c r="V82" s="108">
        <f t="shared" si="36"/>
        <v>146733.12</v>
      </c>
      <c r="W82" s="108">
        <f t="shared" si="36"/>
        <v>154664.63999999998</v>
      </c>
      <c r="X82" s="108">
        <f t="shared" ref="X82" si="37">W82+$F$79</f>
        <v>162596.15999999997</v>
      </c>
      <c r="Y82" s="108">
        <f t="shared" ref="Y82" si="38">X82+$F$79</f>
        <v>170527.67999999996</v>
      </c>
      <c r="Z82" s="108">
        <f t="shared" ref="Z82" si="39">Y82+$F$79</f>
        <v>178459.19999999995</v>
      </c>
      <c r="AA82" s="108">
        <f t="shared" ref="AA82" si="40">Z82+$F$79</f>
        <v>186390.71999999994</v>
      </c>
      <c r="AB82" s="108">
        <f t="shared" ref="AB82" si="41">AA82+$F$79</f>
        <v>194322.23999999993</v>
      </c>
    </row>
    <row r="83" spans="3:28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</row>
    <row r="84" spans="3:28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9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</row>
    <row r="85" spans="3:28">
      <c r="D85" s="108">
        <f>IF(D82&lt;D81,1,0)</f>
        <v>1</v>
      </c>
      <c r="E85" s="108">
        <f t="shared" ref="E85:W85" si="42">IF(E82&lt;E81,1,0)</f>
        <v>1</v>
      </c>
      <c r="F85" s="108">
        <f t="shared" si="42"/>
        <v>1</v>
      </c>
      <c r="G85" s="108">
        <f t="shared" si="42"/>
        <v>1</v>
      </c>
      <c r="H85" s="108">
        <f t="shared" si="42"/>
        <v>1</v>
      </c>
      <c r="I85" s="108">
        <f t="shared" si="42"/>
        <v>1</v>
      </c>
      <c r="J85" s="108">
        <f t="shared" si="42"/>
        <v>1</v>
      </c>
      <c r="K85" s="108">
        <f t="shared" si="42"/>
        <v>1</v>
      </c>
      <c r="L85" s="108">
        <f t="shared" si="42"/>
        <v>1</v>
      </c>
      <c r="M85" s="108">
        <f t="shared" si="42"/>
        <v>1</v>
      </c>
      <c r="N85" s="108">
        <f t="shared" si="42"/>
        <v>1</v>
      </c>
      <c r="O85" s="108">
        <f t="shared" si="42"/>
        <v>0</v>
      </c>
      <c r="P85" s="108">
        <f t="shared" si="42"/>
        <v>0</v>
      </c>
      <c r="Q85" s="108">
        <f t="shared" si="42"/>
        <v>0</v>
      </c>
      <c r="R85" s="108">
        <f t="shared" si="42"/>
        <v>0</v>
      </c>
      <c r="S85" s="108">
        <f t="shared" si="42"/>
        <v>0</v>
      </c>
      <c r="T85" s="108">
        <f t="shared" si="42"/>
        <v>0</v>
      </c>
      <c r="U85" s="108">
        <f t="shared" si="42"/>
        <v>0</v>
      </c>
      <c r="V85" s="108">
        <f t="shared" si="42"/>
        <v>0</v>
      </c>
      <c r="W85" s="108">
        <f t="shared" si="42"/>
        <v>0</v>
      </c>
      <c r="X85" s="108">
        <f t="shared" ref="X85:AB85" si="43">IF(X82&lt;X81,1,0)</f>
        <v>0</v>
      </c>
      <c r="Y85" s="108">
        <f t="shared" si="43"/>
        <v>0</v>
      </c>
      <c r="Z85" s="108">
        <f t="shared" si="43"/>
        <v>0</v>
      </c>
      <c r="AA85" s="108">
        <f t="shared" si="43"/>
        <v>0</v>
      </c>
      <c r="AB85" s="108">
        <f t="shared" si="43"/>
        <v>0</v>
      </c>
    </row>
    <row r="86" spans="3:28">
      <c r="D86" s="108">
        <f>IF(Calcoli!$D$76&gt;1,Calcoli!$F$79/2,0)</f>
        <v>3965.7599999999998</v>
      </c>
      <c r="E86" s="108">
        <f>IF(Calcoli!$D$76&gt;1,Calcoli!$F$79,0)</f>
        <v>7931.5199999999995</v>
      </c>
      <c r="F86" s="108">
        <f>IF(Calcoli!$D$76&gt;1,Calcoli!$F$79,0)</f>
        <v>7931.5199999999995</v>
      </c>
      <c r="G86" s="108">
        <f>IF(Calcoli!$D$76&gt;1,Calcoli!$F$79,0)</f>
        <v>7931.5199999999995</v>
      </c>
      <c r="H86" s="108">
        <f>IF(Calcoli!$D$76&gt;1,Calcoli!$F$79,0)</f>
        <v>7931.5199999999995</v>
      </c>
      <c r="I86" s="108">
        <f>IF(Calcoli!$D$76&gt;1,Calcoli!$F$79,0)</f>
        <v>7931.5199999999995</v>
      </c>
      <c r="J86" s="108">
        <f>IF(Calcoli!$D$76&gt;1,Calcoli!$F$79,0)</f>
        <v>7931.5199999999995</v>
      </c>
      <c r="K86" s="108">
        <f>IF(Calcoli!$D$76&gt;1,Calcoli!$F$79,0)</f>
        <v>7931.5199999999995</v>
      </c>
      <c r="L86" s="108">
        <f>IF(Calcoli!$D$76&gt;1,Calcoli!$F$79,0)</f>
        <v>7931.5199999999995</v>
      </c>
      <c r="M86" s="108">
        <f>IF(Calcoli!$D$76&gt;1,Calcoli!$F$79,0)</f>
        <v>7931.5199999999995</v>
      </c>
      <c r="N86" s="108">
        <f>IF(Calcoli!$D$76&gt;1,Calcoli!$F$79,0)</f>
        <v>7931.5199999999995</v>
      </c>
      <c r="O86" s="108">
        <f>IF(Calcoli!$D$76&gt;1,Calcoli!$F$79,0)</f>
        <v>7931.5199999999995</v>
      </c>
      <c r="P86" s="108">
        <f>IF(Calcoli!$D$76&gt;1,Calcoli!$F$79,0)</f>
        <v>7931.5199999999995</v>
      </c>
      <c r="Q86" s="108">
        <f>IF(Calcoli!$D$76&gt;1,Calcoli!$F$79,0)</f>
        <v>7931.5199999999995</v>
      </c>
      <c r="R86" s="108">
        <f>IF(Calcoli!$D$76&gt;1,Calcoli!$F$79,0)</f>
        <v>7931.5199999999995</v>
      </c>
      <c r="S86" s="108">
        <f>IF(Calcoli!$D$76&gt;1,Calcoli!$F$79,0)</f>
        <v>7931.5199999999995</v>
      </c>
      <c r="T86" s="108">
        <f>IF(Calcoli!$D$76&gt;1,Calcoli!$F$79,0)</f>
        <v>7931.5199999999995</v>
      </c>
      <c r="U86" s="108">
        <f>IF(Calcoli!$D$76&gt;1,Calcoli!$F$79,0)</f>
        <v>7931.5199999999995</v>
      </c>
      <c r="V86" s="108">
        <f>IF(Calcoli!$D$76&gt;1,Calcoli!$F$79,0)</f>
        <v>7931.5199999999995</v>
      </c>
      <c r="W86" s="108">
        <f>IF(Calcoli!$D$76&gt;1,Calcoli!$F$79,0)</f>
        <v>7931.5199999999995</v>
      </c>
      <c r="X86" s="108">
        <f>IF(Calcoli!$D$76&gt;1,Calcoli!$F$79,0)</f>
        <v>7931.5199999999995</v>
      </c>
      <c r="Y86" s="108">
        <f>IF(Calcoli!$D$76&gt;1,Calcoli!$F$79,0)</f>
        <v>7931.5199999999995</v>
      </c>
      <c r="Z86" s="108">
        <f>IF(Calcoli!$D$76&gt;1,Calcoli!$F$79,0)</f>
        <v>7931.5199999999995</v>
      </c>
      <c r="AA86" s="108">
        <f>IF(Calcoli!$D$76&gt;1,Calcoli!$F$79,0)</f>
        <v>7931.5199999999995</v>
      </c>
      <c r="AB86" s="108">
        <f>IF(Calcoli!$D$76&gt;1,Calcoli!$F$79,0)</f>
        <v>7931.5199999999995</v>
      </c>
    </row>
    <row r="87" spans="3:28" ht="10.5" customHeight="1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3:28">
      <c r="D88" s="108">
        <f>IF(D85=1,D86,0)</f>
        <v>3965.7599999999998</v>
      </c>
      <c r="E88" s="108">
        <f>IF(E85=1,E86,$F$78-(D88))</f>
        <v>7931.5199999999995</v>
      </c>
      <c r="F88" s="108">
        <f>IF(F85=1,F86,$F$78-(E88+D88))</f>
        <v>7931.5199999999995</v>
      </c>
      <c r="G88" s="108">
        <f>IF(G85=1,G86,$F$78-(F88+E88+D88))</f>
        <v>7931.5199999999995</v>
      </c>
      <c r="H88" s="108">
        <f>IF(H85=1,H86,$F$78-(G88+F88+E88+D88))</f>
        <v>7931.5199999999995</v>
      </c>
      <c r="I88" s="108">
        <f>IF(I85=1,I86,$F$78-(H88+G88+F88+E88+D88))</f>
        <v>7931.5199999999995</v>
      </c>
      <c r="J88" s="108">
        <f>IF(J85=1,J86,$F$78-(I88+H88+G88+F88+E88+D88))</f>
        <v>7931.5199999999995</v>
      </c>
      <c r="K88" s="108">
        <f>IF(K85=1,K86,$F$78-(J88+I88+H88+G88+F88+E88+D88))</f>
        <v>7931.5199999999995</v>
      </c>
      <c r="L88" s="108">
        <f>IF(L85=1,L86,$F$78-(K88+J88+I88+H88+G88+F88+E88+D88))</f>
        <v>7931.5199999999995</v>
      </c>
      <c r="M88" s="108">
        <f>IF(M85=1,M86,$F$78-(L88+K88+J88+I88+H88+G88+F88+E88+D88))</f>
        <v>7931.5199999999995</v>
      </c>
      <c r="N88" s="108">
        <f>IF(N85=1,N86,$F$78-(M88+L88+K88+J88+I88+H88+G88+F88+E88+D88))</f>
        <v>7931.5199999999995</v>
      </c>
      <c r="O88" s="108">
        <f>IF(O85=1,O86,$F$78-(N88+M88+L88+K88+J88+I88+H88+G88+F88+E88+D88))</f>
        <v>4847.0400000000081</v>
      </c>
      <c r="P88" s="108">
        <f>IF(P85=1,P86,$F$78-(O88+N88+M88+L88+K88+J88+I88+H88+G88+F88+E88+D88))</f>
        <v>0</v>
      </c>
      <c r="Q88" s="108">
        <f>IF(Q85=1,Q86,$F$78-(P88+O88+N88+M88+L88+K88+J88+I88+H88+G88+F88+E88+D88))</f>
        <v>0</v>
      </c>
      <c r="R88" s="108">
        <f>IF(R85=1,R86,$F$78-(Q88+P88+O88+N88+M88+L88+K88+J88+I88+H88+G88+F88+E88+D88))</f>
        <v>0</v>
      </c>
      <c r="S88" s="108">
        <f>IF(S85=1,S86,$F$78-(R88+Q88+P88+O88+N88+M88+L88+K88+J88+I88+H88+G88+F88+E88+D88))</f>
        <v>0</v>
      </c>
      <c r="T88" s="108">
        <f>IF(T85=1,T86,$F$78-(S88+R88+Q88+P88+O88+N88+M88+L88+K88+J88+I88+H88+G88+F88+E88+D88))</f>
        <v>0</v>
      </c>
      <c r="U88" s="108">
        <f>IF(U85=1,U86,$F$78-(T88+S88+R88+Q88+P88+O88+N88+M88+L88+K88+J88+I88+H88+G88+F88+E88+D88))</f>
        <v>0</v>
      </c>
      <c r="V88" s="108">
        <f>IF(V85=1,V86,$F$78-(U88+T88+S88+R88+Q88+P88+O88+N88+M88+L88+K88+J88+I88+H88+G88+F88+E88+D88))</f>
        <v>0</v>
      </c>
      <c r="W88" s="108">
        <f>IF(W85=1,W86,$F$78-(V88+U88+T88+S88+R88+Q88+P88+O88+N88+M88+L88+K88+J88+I88+H88+G88+F88+E88+D88))</f>
        <v>0</v>
      </c>
      <c r="X88" s="108">
        <f>IF(X85=1,X86,$F$78-(W88+V88+U88+T88+S88+R88+Q88+P88+O88+N88+M88+L88+K88+J88+I88+H88+G88+F88+E88+D88))</f>
        <v>0</v>
      </c>
      <c r="Y88" s="108">
        <f>IF(Y85=1,Y86,$F$78-(X88+W88+V88+U88+T88+S88+R88+Q88+P88+O88+N88+M88+L88+K88+J88+I88+H88+G88+F88+E88+D88))</f>
        <v>0</v>
      </c>
      <c r="Z88" s="108">
        <f>IF(Z85=1,Z86,$F$78-(Y88+X88+W88+V88+U88+T88+S88+R88+Q88+P88+O88+N88+M88+L88+K88+J88+I88+H88+G88+F88+E88+D88))</f>
        <v>0</v>
      </c>
      <c r="AA88" s="108">
        <f>IF(AA85=1,AA86,$F$78-(Z88+Y88+X88+W88+V88+U88+T88+S88+R88+Q88+P88+O88+N88+M88+L88+K88+J88+I88+H88+G88+F88+E88+D88))</f>
        <v>0</v>
      </c>
      <c r="AB88" s="108">
        <f>IF(AB85=1,AB86,$F$78-(AA88+Z88+Y88+X88+W88+V88+U88+T88+S88+R88+Q88+P88+O88+N88+M88+L88+K88+J88+I88+H88+G88+F88+E88+D88))</f>
        <v>0</v>
      </c>
    </row>
    <row r="90" spans="3:28">
      <c r="N90" s="108"/>
      <c r="O90" s="108"/>
    </row>
    <row r="91" spans="3:28">
      <c r="F91" s="108"/>
    </row>
    <row r="92" spans="3:28">
      <c r="D92" s="108">
        <f>'Simulazione 4.4'!E65</f>
        <v>8008.24</v>
      </c>
      <c r="E92" s="108">
        <f>'Simulazione 4.4'!F65</f>
        <v>3922.8239999999996</v>
      </c>
      <c r="F92" s="108">
        <f>'Simulazione 4.4'!G65</f>
        <v>3804.0071040000012</v>
      </c>
      <c r="G92" s="108">
        <f>'Simulazione 4.4'!H65</f>
        <v>3686.0170040639978</v>
      </c>
      <c r="H92" s="108">
        <f>'Simulazione 4.4'!I65</f>
        <v>3568.84140790742</v>
      </c>
      <c r="I92" s="108">
        <f>'Simulazione 4.4'!J65</f>
        <v>3452.4680368538511</v>
      </c>
      <c r="J92" s="108">
        <f>'Simulazione 4.4'!K65</f>
        <v>3336.88462377212</v>
      </c>
      <c r="K92" s="108">
        <f>'Simulazione 4.4'!L65</f>
        <v>3222.0789109931202</v>
      </c>
      <c r="L92" s="108">
        <f>'Simulazione 4.4'!M65</f>
        <v>3108.038648205832</v>
      </c>
      <c r="M92" s="108">
        <f>'Simulazione 4.4'!N65</f>
        <v>2994.751590331859</v>
      </c>
      <c r="N92" s="108">
        <f>'Simulazione 4.4'!O65</f>
        <v>2882.2054953779561</v>
      </c>
      <c r="O92" s="108">
        <f>'Simulazione 4.4'!P65</f>
        <v>5854.8681222658051</v>
      </c>
      <c r="P92" s="108">
        <f>'Simulazione 4.4'!Q65</f>
        <v>10590.807228638609</v>
      </c>
      <c r="Q92" s="108">
        <f>'Simulazione 4.4'!R65</f>
        <v>10480.410568643512</v>
      </c>
      <c r="R92" s="108">
        <f>'Simulazione 4.4'!S65</f>
        <v>10370.705890689624</v>
      </c>
      <c r="S92" s="108">
        <f>'Simulazione 4.4'!T65</f>
        <v>10261.680935180599</v>
      </c>
      <c r="T92" s="108">
        <f>'Simulazione 4.4'!U65</f>
        <v>10153.323432221299</v>
      </c>
      <c r="U92" s="108">
        <f>'Simulazione 4.4'!V65</f>
        <v>10045.621099297781</v>
      </c>
      <c r="V92" s="108">
        <f>'Simulazione 4.4'!W65</f>
        <v>9938.561638929903</v>
      </c>
      <c r="W92" s="108">
        <f>'Simulazione 4.4'!X65</f>
        <v>9832.1327362958509</v>
      </c>
      <c r="X92" s="108">
        <f>'Simulazione 4.4'!Y65</f>
        <v>1284.9074541695181</v>
      </c>
      <c r="Y92" s="108">
        <f>'Simulazione 4.4'!Z65</f>
        <v>1310.6056032529084</v>
      </c>
      <c r="Z92" s="108">
        <f>'Simulazione 4.4'!AA65</f>
        <v>1336.8177153179665</v>
      </c>
      <c r="AA92" s="108">
        <f>'Simulazione 4.4'!AB65</f>
        <v>1363.5540696243258</v>
      </c>
      <c r="AB92" s="108">
        <f>'Simulazione 4.4'!AC65</f>
        <v>1390.8251510168122</v>
      </c>
    </row>
    <row r="93" spans="3:28"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</row>
    <row r="94" spans="3:28">
      <c r="C94" s="6" t="s">
        <v>110</v>
      </c>
      <c r="D94" s="109" t="b">
        <f>AND(D92&lt;15000)</f>
        <v>1</v>
      </c>
      <c r="E94" s="109" t="b">
        <f t="shared" ref="E94:W94" si="44">AND(E92&lt;15000)</f>
        <v>1</v>
      </c>
      <c r="F94" s="109" t="b">
        <f t="shared" si="44"/>
        <v>1</v>
      </c>
      <c r="G94" s="109" t="b">
        <f t="shared" si="44"/>
        <v>1</v>
      </c>
      <c r="H94" s="109" t="b">
        <f t="shared" si="44"/>
        <v>1</v>
      </c>
      <c r="I94" s="109" t="b">
        <f t="shared" si="44"/>
        <v>1</v>
      </c>
      <c r="J94" s="109" t="b">
        <f t="shared" si="44"/>
        <v>1</v>
      </c>
      <c r="K94" s="109" t="b">
        <f t="shared" si="44"/>
        <v>1</v>
      </c>
      <c r="L94" s="109" t="b">
        <f t="shared" si="44"/>
        <v>1</v>
      </c>
      <c r="M94" s="109" t="b">
        <f t="shared" si="44"/>
        <v>1</v>
      </c>
      <c r="N94" s="109" t="b">
        <f t="shared" si="44"/>
        <v>1</v>
      </c>
      <c r="O94" s="109" t="b">
        <f t="shared" si="44"/>
        <v>1</v>
      </c>
      <c r="P94" s="109" t="b">
        <f t="shared" si="44"/>
        <v>1</v>
      </c>
      <c r="Q94" s="109" t="b">
        <f t="shared" si="44"/>
        <v>1</v>
      </c>
      <c r="R94" s="109" t="b">
        <f t="shared" si="44"/>
        <v>1</v>
      </c>
      <c r="S94" s="109" t="b">
        <f t="shared" si="44"/>
        <v>1</v>
      </c>
      <c r="T94" s="109" t="b">
        <f t="shared" si="44"/>
        <v>1</v>
      </c>
      <c r="U94" s="109" t="b">
        <f t="shared" si="44"/>
        <v>1</v>
      </c>
      <c r="V94" s="109" t="b">
        <f t="shared" si="44"/>
        <v>1</v>
      </c>
      <c r="W94" s="109" t="b">
        <f t="shared" si="44"/>
        <v>1</v>
      </c>
      <c r="X94" s="109" t="b">
        <f t="shared" ref="X94:AB94" si="45">AND(X92&lt;15000)</f>
        <v>1</v>
      </c>
      <c r="Y94" s="109" t="b">
        <f t="shared" si="45"/>
        <v>1</v>
      </c>
      <c r="Z94" s="109" t="b">
        <f t="shared" si="45"/>
        <v>1</v>
      </c>
      <c r="AA94" s="109" t="b">
        <f t="shared" si="45"/>
        <v>1</v>
      </c>
      <c r="AB94" s="109" t="b">
        <f t="shared" si="45"/>
        <v>1</v>
      </c>
    </row>
    <row r="95" spans="3:28">
      <c r="C95" s="108"/>
      <c r="D95" s="109">
        <f>IF(D94=TRUE,D92/100*'Simulazione 4.4'!$L$13,0)</f>
        <v>1841.8951999999999</v>
      </c>
      <c r="E95" s="109">
        <f>IF(E94=TRUE,E92/100*'Simulazione 4.4'!$L$13,0)</f>
        <v>902.24951999999996</v>
      </c>
      <c r="F95" s="109">
        <f>IF(F94=TRUE,F92/100*'Simulazione 4.4'!$L$13,0)</f>
        <v>874.92163392000032</v>
      </c>
      <c r="G95" s="109">
        <f>IF(G94=TRUE,G92/100*'Simulazione 4.4'!$L$13,0)</f>
        <v>847.78391093471953</v>
      </c>
      <c r="H95" s="109">
        <f>IF(H94=TRUE,H92/100*'Simulazione 4.4'!$L$13,0)</f>
        <v>820.83352381870657</v>
      </c>
      <c r="I95" s="109">
        <f>IF(I94=TRUE,I92/100*'Simulazione 4.4'!$L$13,0)</f>
        <v>794.06764847638578</v>
      </c>
      <c r="J95" s="109">
        <f>IF(J94=TRUE,J92/100*'Simulazione 4.4'!$L$13,0)</f>
        <v>767.48346346758763</v>
      </c>
      <c r="K95" s="109">
        <f>IF(K94=TRUE,K92/100*'Simulazione 4.4'!$L$13,0)</f>
        <v>741.07814952841773</v>
      </c>
      <c r="L95" s="109">
        <f>IF(L94=TRUE,L92/100*'Simulazione 4.4'!$L$13,0)</f>
        <v>714.84888908734138</v>
      </c>
      <c r="M95" s="109">
        <f>IF(M94=TRUE,M92/100*'Simulazione 4.4'!$L$13,0)</f>
        <v>688.79286577632752</v>
      </c>
      <c r="N95" s="109">
        <f>IF(N94=TRUE,N92/100*'Simulazione 4.4'!$L$13,0)</f>
        <v>662.90726393692989</v>
      </c>
      <c r="O95" s="109">
        <f>IF(O94=TRUE,O92/100*'Simulazione 4.4'!$L$13,0)</f>
        <v>1346.6196681211352</v>
      </c>
      <c r="P95" s="109">
        <f>IF(P94=TRUE,P92/100*'Simulazione 4.4'!$L$13,0)</f>
        <v>2435.8856625868798</v>
      </c>
      <c r="Q95" s="109">
        <f>IF(Q94=TRUE,Q92/100*'Simulazione 4.4'!$L$13,0)</f>
        <v>2410.4944307880078</v>
      </c>
      <c r="R95" s="109">
        <f>IF(R94=TRUE,R92/100*'Simulazione 4.4'!$L$13,0)</f>
        <v>2385.2623548586134</v>
      </c>
      <c r="S95" s="109">
        <f>IF(S94=TRUE,S92/100*'Simulazione 4.4'!$L$13,0)</f>
        <v>2360.1866150915375</v>
      </c>
      <c r="T95" s="109">
        <f>IF(T94=TRUE,T92/100*'Simulazione 4.4'!$L$13,0)</f>
        <v>2335.2643894108987</v>
      </c>
      <c r="U95" s="109">
        <f>IF(U94=TRUE,U92/100*'Simulazione 4.4'!$L$13,0)</f>
        <v>2310.4928528384899</v>
      </c>
      <c r="V95" s="109">
        <f>IF(V94=TRUE,V92/100*'Simulazione 4.4'!$L$13,0)</f>
        <v>2285.8691769538777</v>
      </c>
      <c r="W95" s="109">
        <f>IF(W94=TRUE,W92/100*'Simulazione 4.4'!$L$13,0)</f>
        <v>2261.3905293480457</v>
      </c>
      <c r="X95" s="109">
        <f>IF(X94=TRUE,X92/100*'Simulazione 4.4'!$L$13,0)</f>
        <v>295.52871445898916</v>
      </c>
      <c r="Y95" s="109">
        <f>IF(Y94=TRUE,Y92/100*'Simulazione 4.4'!$L$13,0)</f>
        <v>301.43928874816891</v>
      </c>
      <c r="Z95" s="109">
        <f>IF(Z94=TRUE,Z92/100*'Simulazione 4.4'!$L$13,0)</f>
        <v>307.46807452313232</v>
      </c>
      <c r="AA95" s="109">
        <f>IF(AA94=TRUE,AA92/100*'Simulazione 4.4'!$L$13,0)</f>
        <v>313.61743601359495</v>
      </c>
      <c r="AB95" s="109">
        <f>IF(AB94=TRUE,AB92/100*'Simulazione 4.4'!$L$13,0)</f>
        <v>319.8897847338668</v>
      </c>
    </row>
    <row r="96" spans="3:28"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3:28">
      <c r="C97" s="108" t="s">
        <v>109</v>
      </c>
      <c r="D97" s="109" t="b">
        <f>AND(D92&lt;28001,D92&gt;15000)</f>
        <v>0</v>
      </c>
      <c r="E97" s="109" t="b">
        <f t="shared" ref="E97:W97" si="46">AND(E92&lt;28001,E92&gt;15000)</f>
        <v>0</v>
      </c>
      <c r="F97" s="109" t="b">
        <f t="shared" si="46"/>
        <v>0</v>
      </c>
      <c r="G97" s="109" t="b">
        <f t="shared" si="46"/>
        <v>0</v>
      </c>
      <c r="H97" s="109" t="b">
        <f t="shared" si="46"/>
        <v>0</v>
      </c>
      <c r="I97" s="109" t="b">
        <f t="shared" si="46"/>
        <v>0</v>
      </c>
      <c r="J97" s="109" t="b">
        <f t="shared" si="46"/>
        <v>0</v>
      </c>
      <c r="K97" s="109" t="b">
        <f t="shared" si="46"/>
        <v>0</v>
      </c>
      <c r="L97" s="109" t="b">
        <f t="shared" si="46"/>
        <v>0</v>
      </c>
      <c r="M97" s="109" t="b">
        <f t="shared" si="46"/>
        <v>0</v>
      </c>
      <c r="N97" s="109" t="b">
        <f t="shared" si="46"/>
        <v>0</v>
      </c>
      <c r="O97" s="109" t="b">
        <f t="shared" si="46"/>
        <v>0</v>
      </c>
      <c r="P97" s="109" t="b">
        <f t="shared" si="46"/>
        <v>0</v>
      </c>
      <c r="Q97" s="109" t="b">
        <f t="shared" si="46"/>
        <v>0</v>
      </c>
      <c r="R97" s="109" t="b">
        <f t="shared" si="46"/>
        <v>0</v>
      </c>
      <c r="S97" s="109" t="b">
        <f t="shared" si="46"/>
        <v>0</v>
      </c>
      <c r="T97" s="109" t="b">
        <f t="shared" si="46"/>
        <v>0</v>
      </c>
      <c r="U97" s="109" t="b">
        <f t="shared" si="46"/>
        <v>0</v>
      </c>
      <c r="V97" s="109" t="b">
        <f t="shared" si="46"/>
        <v>0</v>
      </c>
      <c r="W97" s="109" t="b">
        <f t="shared" si="46"/>
        <v>0</v>
      </c>
      <c r="X97" s="109" t="b">
        <f t="shared" ref="X97:AB97" si="47">AND(X92&lt;28001,X92&gt;15000)</f>
        <v>0</v>
      </c>
      <c r="Y97" s="109" t="b">
        <f t="shared" si="47"/>
        <v>0</v>
      </c>
      <c r="Z97" s="109" t="b">
        <f t="shared" si="47"/>
        <v>0</v>
      </c>
      <c r="AA97" s="109" t="b">
        <f t="shared" si="47"/>
        <v>0</v>
      </c>
      <c r="AB97" s="109" t="b">
        <f t="shared" si="47"/>
        <v>0</v>
      </c>
    </row>
    <row r="98" spans="3:28">
      <c r="C98" s="108"/>
      <c r="D98" s="109">
        <f>IF(D97=TRUE,3450+((D92-15000)/100*'Simulazione 4.4'!$L$14),0)</f>
        <v>0</v>
      </c>
      <c r="E98" s="109">
        <f>IF(E97=TRUE,3450+((E92-15000)/100*'Simulazione 4.4'!$L$14),0)</f>
        <v>0</v>
      </c>
      <c r="F98" s="109">
        <f>IF(F97=TRUE,3450+((F92-15000)/100*'Simulazione 4.4'!$L$14),0)</f>
        <v>0</v>
      </c>
      <c r="G98" s="109">
        <f>IF(G97=TRUE,3450+((G92-15000)/100*'Simulazione 4.4'!$L$14),0)</f>
        <v>0</v>
      </c>
      <c r="H98" s="109">
        <f>IF(H97=TRUE,3450+((H92-15000)/100*'Simulazione 4.4'!$L$14),0)</f>
        <v>0</v>
      </c>
      <c r="I98" s="109">
        <f>IF(I97=TRUE,3450+((I92-15000)/100*'Simulazione 4.4'!$L$14),0)</f>
        <v>0</v>
      </c>
      <c r="J98" s="109">
        <f>IF(J97=TRUE,3450+((J92-15000)/100*'Simulazione 4.4'!$L$14),0)</f>
        <v>0</v>
      </c>
      <c r="K98" s="109">
        <f>IF(K97=TRUE,3450+((K92-15000)/100*'Simulazione 4.4'!$L$14),0)</f>
        <v>0</v>
      </c>
      <c r="L98" s="109">
        <f>IF(L97=TRUE,3450+((L92-15000)/100*'Simulazione 4.4'!$L$14),0)</f>
        <v>0</v>
      </c>
      <c r="M98" s="109">
        <f>IF(M97=TRUE,3450+((M92-15000)/100*'Simulazione 4.4'!$L$14),0)</f>
        <v>0</v>
      </c>
      <c r="N98" s="109">
        <f>IF(N97=TRUE,3450+((N92-15000)/100*'Simulazione 4.4'!$L$14),0)</f>
        <v>0</v>
      </c>
      <c r="O98" s="109">
        <f>IF(O97=TRUE,3450+((O92-15000)/100*'Simulazione 4.4'!$L$14),0)</f>
        <v>0</v>
      </c>
      <c r="P98" s="109">
        <f>IF(P97=TRUE,3450+((P92-15000)/100*'Simulazione 4.4'!$L$14),0)</f>
        <v>0</v>
      </c>
      <c r="Q98" s="109">
        <f>IF(Q97=TRUE,3450+((Q92-15000)/100*'Simulazione 4.4'!$L$14),0)</f>
        <v>0</v>
      </c>
      <c r="R98" s="109">
        <f>IF(R97=TRUE,3450+((R92-15000)/100*'Simulazione 4.4'!$L$14),0)</f>
        <v>0</v>
      </c>
      <c r="S98" s="109">
        <f>IF(S97=TRUE,3450+((S92-15000)/100*'Simulazione 4.4'!$L$14),0)</f>
        <v>0</v>
      </c>
      <c r="T98" s="109">
        <f>IF(T97=TRUE,3450+((T92-15000)/100*'Simulazione 4.4'!$L$14),0)</f>
        <v>0</v>
      </c>
      <c r="U98" s="109">
        <f>IF(U97=TRUE,3450+((U92-15000)/100*'Simulazione 4.4'!$L$14),0)</f>
        <v>0</v>
      </c>
      <c r="V98" s="109">
        <f>IF(V97=TRUE,3450+((V92-15000)/100*'Simulazione 4.4'!$L$14),0)</f>
        <v>0</v>
      </c>
      <c r="W98" s="109">
        <f>IF(W97=TRUE,3450+((W92-15000)/100*'Simulazione 4.4'!$L$14),0)</f>
        <v>0</v>
      </c>
      <c r="X98" s="109">
        <f>IF(X97=TRUE,3450+((X92-15000)/100*'Simulazione 4.4'!$L$14),0)</f>
        <v>0</v>
      </c>
      <c r="Y98" s="109">
        <f>IF(Y97=TRUE,3450+((Y92-15000)/100*'Simulazione 4.4'!$L$14),0)</f>
        <v>0</v>
      </c>
      <c r="Z98" s="109">
        <f>IF(Z97=TRUE,3450+((Z92-15000)/100*'Simulazione 4.4'!$L$14),0)</f>
        <v>0</v>
      </c>
      <c r="AA98" s="109">
        <f>IF(AA97=TRUE,3450+((AA92-15000)/100*'Simulazione 4.4'!$L$14),0)</f>
        <v>0</v>
      </c>
      <c r="AB98" s="109">
        <f>IF(AB97=TRUE,3450+((AB92-15000)/100*'Simulazione 4.4'!$L$14),0)</f>
        <v>0</v>
      </c>
    </row>
    <row r="99" spans="3:28"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</row>
    <row r="100" spans="3:28">
      <c r="C100" s="108" t="s">
        <v>111</v>
      </c>
      <c r="D100" s="109" t="b">
        <f>AND(D92&lt;55001,D92&gt;28000)</f>
        <v>0</v>
      </c>
      <c r="E100" s="109" t="b">
        <f t="shared" ref="E100:W100" si="48">AND(E92&lt;55001,E92&gt;28000)</f>
        <v>0</v>
      </c>
      <c r="F100" s="109" t="b">
        <f t="shared" si="48"/>
        <v>0</v>
      </c>
      <c r="G100" s="109" t="b">
        <f t="shared" si="48"/>
        <v>0</v>
      </c>
      <c r="H100" s="109" t="b">
        <f t="shared" si="48"/>
        <v>0</v>
      </c>
      <c r="I100" s="109" t="b">
        <f t="shared" si="48"/>
        <v>0</v>
      </c>
      <c r="J100" s="109" t="b">
        <f t="shared" si="48"/>
        <v>0</v>
      </c>
      <c r="K100" s="109" t="b">
        <f t="shared" si="48"/>
        <v>0</v>
      </c>
      <c r="L100" s="109" t="b">
        <f t="shared" si="48"/>
        <v>0</v>
      </c>
      <c r="M100" s="109" t="b">
        <f t="shared" si="48"/>
        <v>0</v>
      </c>
      <c r="N100" s="109" t="b">
        <f t="shared" si="48"/>
        <v>0</v>
      </c>
      <c r="O100" s="109" t="b">
        <f t="shared" si="48"/>
        <v>0</v>
      </c>
      <c r="P100" s="109" t="b">
        <f t="shared" si="48"/>
        <v>0</v>
      </c>
      <c r="Q100" s="109" t="b">
        <f t="shared" si="48"/>
        <v>0</v>
      </c>
      <c r="R100" s="109" t="b">
        <f t="shared" si="48"/>
        <v>0</v>
      </c>
      <c r="S100" s="109" t="b">
        <f t="shared" si="48"/>
        <v>0</v>
      </c>
      <c r="T100" s="109" t="b">
        <f t="shared" si="48"/>
        <v>0</v>
      </c>
      <c r="U100" s="109" t="b">
        <f t="shared" si="48"/>
        <v>0</v>
      </c>
      <c r="V100" s="109" t="b">
        <f t="shared" si="48"/>
        <v>0</v>
      </c>
      <c r="W100" s="109" t="b">
        <f t="shared" si="48"/>
        <v>0</v>
      </c>
      <c r="X100" s="109" t="b">
        <f t="shared" ref="X100:AB100" si="49">AND(X92&lt;55001,X92&gt;28000)</f>
        <v>0</v>
      </c>
      <c r="Y100" s="109" t="b">
        <f t="shared" si="49"/>
        <v>0</v>
      </c>
      <c r="Z100" s="109" t="b">
        <f t="shared" si="49"/>
        <v>0</v>
      </c>
      <c r="AA100" s="109" t="b">
        <f t="shared" si="49"/>
        <v>0</v>
      </c>
      <c r="AB100" s="109" t="b">
        <f t="shared" si="49"/>
        <v>0</v>
      </c>
    </row>
    <row r="101" spans="3:28">
      <c r="C101" s="108"/>
      <c r="D101" s="109">
        <f>IF(D100=TRUE,6960+((D92-28000)/100*'Simulazione 4.4'!$L$15),0)</f>
        <v>0</v>
      </c>
      <c r="E101" s="109">
        <f>IF(E100=TRUE,6960+((E92-28000)/100*'Simulazione 4.4'!$L$15),0)</f>
        <v>0</v>
      </c>
      <c r="F101" s="109">
        <f>IF(F100=TRUE,6960+((F92-28000)/100*'Simulazione 4.4'!$L$15),0)</f>
        <v>0</v>
      </c>
      <c r="G101" s="109">
        <f>IF(G100=TRUE,6960+((G92-28000)/100*'Simulazione 4.4'!$L$15),0)</f>
        <v>0</v>
      </c>
      <c r="H101" s="109">
        <f>IF(H100=TRUE,6960+((H92-28000)/100*'Simulazione 4.4'!$L$15),0)</f>
        <v>0</v>
      </c>
      <c r="I101" s="109">
        <f>IF(I100=TRUE,6960+((I92-28000)/100*'Simulazione 4.4'!$L$15),0)</f>
        <v>0</v>
      </c>
      <c r="J101" s="109">
        <f>IF(J100=TRUE,6960+((J92-28000)/100*'Simulazione 4.4'!$L$15),0)</f>
        <v>0</v>
      </c>
      <c r="K101" s="109">
        <f>IF(K100=TRUE,6960+((K92-28000)/100*'Simulazione 4.4'!$L$15),0)</f>
        <v>0</v>
      </c>
      <c r="L101" s="109">
        <f>IF(L100=TRUE,6960+((L92-28000)/100*'Simulazione 4.4'!$L$15),0)</f>
        <v>0</v>
      </c>
      <c r="M101" s="109">
        <f>IF(M100=TRUE,6960+((M92-28000)/100*'Simulazione 4.4'!$L$15),0)</f>
        <v>0</v>
      </c>
      <c r="N101" s="109">
        <f>IF(N100=TRUE,6960+((N92-28000)/100*'Simulazione 4.4'!$L$15),0)</f>
        <v>0</v>
      </c>
      <c r="O101" s="109">
        <f>IF(O100=TRUE,6960+((O92-28000)/100*'Simulazione 4.4'!$L$15),0)</f>
        <v>0</v>
      </c>
      <c r="P101" s="109">
        <f>IF(P100=TRUE,6960+((P92-28000)/100*'Simulazione 4.4'!$L$15),0)</f>
        <v>0</v>
      </c>
      <c r="Q101" s="109">
        <f>IF(Q100=TRUE,6960+((Q92-28000)/100*'Simulazione 4.4'!$L$15),0)</f>
        <v>0</v>
      </c>
      <c r="R101" s="109">
        <f>IF(R100=TRUE,6960+((R92-28000)/100*'Simulazione 4.4'!$L$15),0)</f>
        <v>0</v>
      </c>
      <c r="S101" s="109">
        <f>IF(S100=TRUE,6960+((S92-28000)/100*'Simulazione 4.4'!$L$15),0)</f>
        <v>0</v>
      </c>
      <c r="T101" s="109">
        <f>IF(T100=TRUE,6960+((T92-28000)/100*'Simulazione 4.4'!$L$15),0)</f>
        <v>0</v>
      </c>
      <c r="U101" s="109">
        <f>IF(U100=TRUE,6960+((U92-28000)/100*'Simulazione 4.4'!$L$15),0)</f>
        <v>0</v>
      </c>
      <c r="V101" s="109">
        <f>IF(V100=TRUE,6960+((V92-28000)/100*'Simulazione 4.4'!$L$15),0)</f>
        <v>0</v>
      </c>
      <c r="W101" s="109">
        <f>IF(W100=TRUE,6960+((W92-28000)/100*'Simulazione 4.4'!$L$15),0)</f>
        <v>0</v>
      </c>
      <c r="X101" s="109">
        <f>IF(X100=TRUE,6960+((X92-28000)/100*'Simulazione 4.4'!$L$15),0)</f>
        <v>0</v>
      </c>
      <c r="Y101" s="109">
        <f>IF(Y100=TRUE,6960+((Y92-28000)/100*'Simulazione 4.4'!$L$15),0)</f>
        <v>0</v>
      </c>
      <c r="Z101" s="109">
        <f>IF(Z100=TRUE,6960+((Z92-28000)/100*'Simulazione 4.4'!$L$15),0)</f>
        <v>0</v>
      </c>
      <c r="AA101" s="109">
        <f>IF(AA100=TRUE,6960+((AA92-28000)/100*'Simulazione 4.4'!$L$15),0)</f>
        <v>0</v>
      </c>
      <c r="AB101" s="109">
        <f>IF(AB100=TRUE,6960+((AB92-28000)/100*'Simulazione 4.4'!$L$15),0)</f>
        <v>0</v>
      </c>
    </row>
    <row r="102" spans="3:28"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</row>
    <row r="103" spans="3:28">
      <c r="C103" s="108" t="s">
        <v>112</v>
      </c>
      <c r="D103" s="109" t="b">
        <f>AND(D92&lt;75001,D92&gt;55000)</f>
        <v>0</v>
      </c>
      <c r="E103" s="109" t="b">
        <f t="shared" ref="E103:W103" si="50">AND(E92&lt;75001,E92&gt;55000)</f>
        <v>0</v>
      </c>
      <c r="F103" s="109" t="b">
        <f t="shared" si="50"/>
        <v>0</v>
      </c>
      <c r="G103" s="109" t="b">
        <f t="shared" si="50"/>
        <v>0</v>
      </c>
      <c r="H103" s="109" t="b">
        <f t="shared" si="50"/>
        <v>0</v>
      </c>
      <c r="I103" s="109" t="b">
        <f t="shared" si="50"/>
        <v>0</v>
      </c>
      <c r="J103" s="109" t="b">
        <f t="shared" si="50"/>
        <v>0</v>
      </c>
      <c r="K103" s="109" t="b">
        <f t="shared" si="50"/>
        <v>0</v>
      </c>
      <c r="L103" s="109" t="b">
        <f t="shared" si="50"/>
        <v>0</v>
      </c>
      <c r="M103" s="109" t="b">
        <f t="shared" si="50"/>
        <v>0</v>
      </c>
      <c r="N103" s="109" t="b">
        <f t="shared" si="50"/>
        <v>0</v>
      </c>
      <c r="O103" s="109" t="b">
        <f t="shared" si="50"/>
        <v>0</v>
      </c>
      <c r="P103" s="109" t="b">
        <f t="shared" si="50"/>
        <v>0</v>
      </c>
      <c r="Q103" s="109" t="b">
        <f t="shared" si="50"/>
        <v>0</v>
      </c>
      <c r="R103" s="109" t="b">
        <f t="shared" si="50"/>
        <v>0</v>
      </c>
      <c r="S103" s="109" t="b">
        <f t="shared" si="50"/>
        <v>0</v>
      </c>
      <c r="T103" s="109" t="b">
        <f t="shared" si="50"/>
        <v>0</v>
      </c>
      <c r="U103" s="109" t="b">
        <f t="shared" si="50"/>
        <v>0</v>
      </c>
      <c r="V103" s="109" t="b">
        <f t="shared" si="50"/>
        <v>0</v>
      </c>
      <c r="W103" s="109" t="b">
        <f t="shared" si="50"/>
        <v>0</v>
      </c>
      <c r="X103" s="109" t="b">
        <f t="shared" ref="X103:AB103" si="51">AND(X92&lt;75001,X92&gt;55000)</f>
        <v>0</v>
      </c>
      <c r="Y103" s="109" t="b">
        <f t="shared" si="51"/>
        <v>0</v>
      </c>
      <c r="Z103" s="109" t="b">
        <f t="shared" si="51"/>
        <v>0</v>
      </c>
      <c r="AA103" s="109" t="b">
        <f t="shared" si="51"/>
        <v>0</v>
      </c>
      <c r="AB103" s="109" t="b">
        <f t="shared" si="51"/>
        <v>0</v>
      </c>
    </row>
    <row r="104" spans="3:28">
      <c r="D104" s="109">
        <f>IF(D103=TRUE,17220+((D92-55000)/100*'Simulazione 4.4'!$L$16),0)</f>
        <v>0</v>
      </c>
      <c r="E104" s="109">
        <f>IF(E103=TRUE,17220+((E92-55000)/100*'Simulazione 4.4'!$L$16),0)</f>
        <v>0</v>
      </c>
      <c r="F104" s="109">
        <f>IF(F103=TRUE,17220+((F92-55000)/100*'Simulazione 4.4'!$L$16),0)</f>
        <v>0</v>
      </c>
      <c r="G104" s="109">
        <f>IF(G103=TRUE,17220+((G92-55000)/100*'Simulazione 4.4'!$L$16),0)</f>
        <v>0</v>
      </c>
      <c r="H104" s="109">
        <f>IF(H103=TRUE,17220+((H92-55000)/100*'Simulazione 4.4'!$L$16),0)</f>
        <v>0</v>
      </c>
      <c r="I104" s="109">
        <f>IF(I103=TRUE,17220+((I92-55000)/100*'Simulazione 4.4'!$L$16),0)</f>
        <v>0</v>
      </c>
      <c r="J104" s="109">
        <f>IF(J103=TRUE,17220+((J92-55000)/100*'Simulazione 4.4'!$L$16),0)</f>
        <v>0</v>
      </c>
      <c r="K104" s="109">
        <f>IF(K103=TRUE,17220+((K92-55000)/100*'Simulazione 4.4'!$L$16),0)</f>
        <v>0</v>
      </c>
      <c r="L104" s="109">
        <f>IF(L103=TRUE,17220+((L92-55000)/100*'Simulazione 4.4'!$L$16),0)</f>
        <v>0</v>
      </c>
      <c r="M104" s="109">
        <f>IF(M103=TRUE,17220+((M92-55000)/100*'Simulazione 4.4'!$L$16),0)</f>
        <v>0</v>
      </c>
      <c r="N104" s="109">
        <f>IF(N103=TRUE,17220+((N92-55000)/100*'Simulazione 4.4'!$L$16),0)</f>
        <v>0</v>
      </c>
      <c r="O104" s="109">
        <f>IF(O103=TRUE,17220+((O92-55000)/100*'Simulazione 4.4'!$L$16),0)</f>
        <v>0</v>
      </c>
      <c r="P104" s="109">
        <f>IF(P103=TRUE,17220+((P92-55000)/100*'Simulazione 4.4'!$L$16),0)</f>
        <v>0</v>
      </c>
      <c r="Q104" s="109">
        <f>IF(Q103=TRUE,17220+((Q92-55000)/100*'Simulazione 4.4'!$L$16),0)</f>
        <v>0</v>
      </c>
      <c r="R104" s="109">
        <f>IF(R103=TRUE,17220+((R92-55000)/100*'Simulazione 4.4'!$L$16),0)</f>
        <v>0</v>
      </c>
      <c r="S104" s="109">
        <f>IF(S103=TRUE,17220+((S92-55000)/100*'Simulazione 4.4'!$L$16),0)</f>
        <v>0</v>
      </c>
      <c r="T104" s="109">
        <f>IF(T103=TRUE,17220+((T92-55000)/100*'Simulazione 4.4'!$L$16),0)</f>
        <v>0</v>
      </c>
      <c r="U104" s="109">
        <f>IF(U103=TRUE,17220+((U92-55000)/100*'Simulazione 4.4'!$L$16),0)</f>
        <v>0</v>
      </c>
      <c r="V104" s="109">
        <f>IF(V103=TRUE,17220+((V92-55000)/100*'Simulazione 4.4'!$L$16),0)</f>
        <v>0</v>
      </c>
      <c r="W104" s="109">
        <f>IF(W103=TRUE,17220+((W92-55000)/100*'Simulazione 4.4'!$L$16),0)</f>
        <v>0</v>
      </c>
      <c r="X104" s="109">
        <f>IF(X103=TRUE,17220+((X92-55000)/100*'Simulazione 4.4'!$L$16),0)</f>
        <v>0</v>
      </c>
      <c r="Y104" s="109">
        <f>IF(Y103=TRUE,17220+((Y92-55000)/100*'Simulazione 4.4'!$L$16),0)</f>
        <v>0</v>
      </c>
      <c r="Z104" s="109">
        <f>IF(Z103=TRUE,17220+((Z92-55000)/100*'Simulazione 4.4'!$L$16),0)</f>
        <v>0</v>
      </c>
      <c r="AA104" s="109">
        <f>IF(AA103=TRUE,17220+((AA92-55000)/100*'Simulazione 4.4'!$L$16),0)</f>
        <v>0</v>
      </c>
      <c r="AB104" s="109">
        <f>IF(AB103=TRUE,17220+((AB92-55000)/100*'Simulazione 4.4'!$L$16),0)</f>
        <v>0</v>
      </c>
    </row>
    <row r="105" spans="3:28"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</row>
    <row r="106" spans="3:28">
      <c r="C106" s="108" t="s">
        <v>113</v>
      </c>
      <c r="D106" s="109" t="b">
        <f>AND(D92&gt;75000)</f>
        <v>0</v>
      </c>
      <c r="E106" s="109" t="b">
        <f t="shared" ref="E106:W106" si="52">AND(E92&gt;75000)</f>
        <v>0</v>
      </c>
      <c r="F106" s="109" t="b">
        <f t="shared" si="52"/>
        <v>0</v>
      </c>
      <c r="G106" s="109" t="b">
        <f t="shared" si="52"/>
        <v>0</v>
      </c>
      <c r="H106" s="109" t="b">
        <f t="shared" si="52"/>
        <v>0</v>
      </c>
      <c r="I106" s="109" t="b">
        <f t="shared" si="52"/>
        <v>0</v>
      </c>
      <c r="J106" s="109" t="b">
        <f t="shared" si="52"/>
        <v>0</v>
      </c>
      <c r="K106" s="109" t="b">
        <f t="shared" si="52"/>
        <v>0</v>
      </c>
      <c r="L106" s="109" t="b">
        <f t="shared" si="52"/>
        <v>0</v>
      </c>
      <c r="M106" s="109" t="b">
        <f t="shared" si="52"/>
        <v>0</v>
      </c>
      <c r="N106" s="109" t="b">
        <f t="shared" si="52"/>
        <v>0</v>
      </c>
      <c r="O106" s="109" t="b">
        <f t="shared" si="52"/>
        <v>0</v>
      </c>
      <c r="P106" s="109" t="b">
        <f t="shared" si="52"/>
        <v>0</v>
      </c>
      <c r="Q106" s="109" t="b">
        <f t="shared" si="52"/>
        <v>0</v>
      </c>
      <c r="R106" s="109" t="b">
        <f t="shared" si="52"/>
        <v>0</v>
      </c>
      <c r="S106" s="109" t="b">
        <f t="shared" si="52"/>
        <v>0</v>
      </c>
      <c r="T106" s="109" t="b">
        <f t="shared" si="52"/>
        <v>0</v>
      </c>
      <c r="U106" s="109" t="b">
        <f t="shared" si="52"/>
        <v>0</v>
      </c>
      <c r="V106" s="109" t="b">
        <f t="shared" si="52"/>
        <v>0</v>
      </c>
      <c r="W106" s="109" t="b">
        <f t="shared" si="52"/>
        <v>0</v>
      </c>
      <c r="X106" s="109" t="b">
        <f t="shared" ref="X106:AB106" si="53">AND(X92&gt;75000)</f>
        <v>0</v>
      </c>
      <c r="Y106" s="109" t="b">
        <f t="shared" si="53"/>
        <v>0</v>
      </c>
      <c r="Z106" s="109" t="b">
        <f t="shared" si="53"/>
        <v>0</v>
      </c>
      <c r="AA106" s="109" t="b">
        <f t="shared" si="53"/>
        <v>0</v>
      </c>
      <c r="AB106" s="109" t="b">
        <f t="shared" si="53"/>
        <v>0</v>
      </c>
    </row>
    <row r="107" spans="3:28">
      <c r="D107" s="109">
        <f>IF(D106=TRUE,25420+((D92-75000)/100*'Simulazione 4.4'!$L$17),0)</f>
        <v>0</v>
      </c>
      <c r="E107" s="109">
        <f>IF(E106=TRUE,25420+((E92-75000)/100*'Simulazione 4.4'!$L$17),0)</f>
        <v>0</v>
      </c>
      <c r="F107" s="109">
        <f>IF(F106=TRUE,25420+((F92-75000)/100*'Simulazione 4.4'!$L$17),0)</f>
        <v>0</v>
      </c>
      <c r="G107" s="109">
        <f>IF(G106=TRUE,25420+((G92-75000)/100*'Simulazione 4.4'!$L$17),0)</f>
        <v>0</v>
      </c>
      <c r="H107" s="109">
        <f>IF(H106=TRUE,25420+((H92-75000)/100*'Simulazione 4.4'!$L$17),0)</f>
        <v>0</v>
      </c>
      <c r="I107" s="109">
        <f>IF(I106=TRUE,25420+((I92-75000)/100*'Simulazione 4.4'!$L$17),0)</f>
        <v>0</v>
      </c>
      <c r="J107" s="109">
        <f>IF(J106=TRUE,25420+((J92-75000)/100*'Simulazione 4.4'!$L$17),0)</f>
        <v>0</v>
      </c>
      <c r="K107" s="109">
        <f>IF(K106=TRUE,25420+((K92-75000)/100*'Simulazione 4.4'!$L$17),0)</f>
        <v>0</v>
      </c>
      <c r="L107" s="109">
        <f>IF(L106=TRUE,25420+((L92-75000)/100*'Simulazione 4.4'!$L$17),0)</f>
        <v>0</v>
      </c>
      <c r="M107" s="109">
        <f>IF(M106=TRUE,25420+((M92-75000)/100*'Simulazione 4.4'!$L$17),0)</f>
        <v>0</v>
      </c>
      <c r="N107" s="109">
        <f>IF(N106=TRUE,25420+((N92-75000)/100*'Simulazione 4.4'!$L$17),0)</f>
        <v>0</v>
      </c>
      <c r="O107" s="109">
        <f>IF(O106=TRUE,25420+((O92-75000)/100*'Simulazione 4.4'!$L$17),0)</f>
        <v>0</v>
      </c>
      <c r="P107" s="109">
        <f>IF(P106=TRUE,25420+((P92-75000)/100*'Simulazione 4.4'!$L$17),0)</f>
        <v>0</v>
      </c>
      <c r="Q107" s="109">
        <f>IF(Q106=TRUE,25420+((Q92-75000)/100*'Simulazione 4.4'!$L$17),0)</f>
        <v>0</v>
      </c>
      <c r="R107" s="109">
        <f>IF(R106=TRUE,25420+((R92-75000)/100*'Simulazione 4.4'!$L$17),0)</f>
        <v>0</v>
      </c>
      <c r="S107" s="109">
        <f>IF(S106=TRUE,25420+((S92-75000)/100*'Simulazione 4.4'!$L$17),0)</f>
        <v>0</v>
      </c>
      <c r="T107" s="109">
        <f>IF(T106=TRUE,25420+((T92-75000)/100*'Simulazione 4.4'!$L$17),0)</f>
        <v>0</v>
      </c>
      <c r="U107" s="109">
        <f>IF(U106=TRUE,25420+((U92-75000)/100*'Simulazione 4.4'!$L$17),0)</f>
        <v>0</v>
      </c>
      <c r="V107" s="109">
        <f>IF(V106=TRUE,25420+((V92-75000)/100*'Simulazione 4.4'!$L$17),0)</f>
        <v>0</v>
      </c>
      <c r="W107" s="109">
        <f>IF(W106=TRUE,25420+((W92-75000)/100*'Simulazione 4.4'!$L$17),0)</f>
        <v>0</v>
      </c>
      <c r="X107" s="109">
        <f>IF(X106=TRUE,25420+((X92-75000)/100*'Simulazione 4.4'!$L$17),0)</f>
        <v>0</v>
      </c>
      <c r="Y107" s="109">
        <f>IF(Y106=TRUE,25420+((Y92-75000)/100*'Simulazione 4.4'!$L$17),0)</f>
        <v>0</v>
      </c>
      <c r="Z107" s="109">
        <f>IF(Z106=TRUE,25420+((Z92-75000)/100*'Simulazione 4.4'!$L$17),0)</f>
        <v>0</v>
      </c>
      <c r="AA107" s="109">
        <f>IF(AA106=TRUE,25420+((AA92-75000)/100*'Simulazione 4.4'!$L$17),0)</f>
        <v>0</v>
      </c>
      <c r="AB107" s="109">
        <f>IF(AB106=TRUE,25420+((AB92-75000)/100*'Simulazione 4.4'!$L$17),0)</f>
        <v>0</v>
      </c>
    </row>
    <row r="108" spans="3:28"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</row>
    <row r="109" spans="3:28"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</row>
    <row r="110" spans="3:28">
      <c r="D110" s="109">
        <f>D95+D98+D101+D104+D107</f>
        <v>1841.8951999999999</v>
      </c>
      <c r="E110" s="109">
        <f t="shared" ref="E110:W110" si="54">E95+E98+E101+E104+E107</f>
        <v>902.24951999999996</v>
      </c>
      <c r="F110" s="109">
        <f t="shared" si="54"/>
        <v>874.92163392000032</v>
      </c>
      <c r="G110" s="109">
        <f t="shared" si="54"/>
        <v>847.78391093471953</v>
      </c>
      <c r="H110" s="109">
        <f t="shared" si="54"/>
        <v>820.83352381870657</v>
      </c>
      <c r="I110" s="109">
        <f t="shared" si="54"/>
        <v>794.06764847638578</v>
      </c>
      <c r="J110" s="109">
        <f t="shared" si="54"/>
        <v>767.48346346758763</v>
      </c>
      <c r="K110" s="109">
        <f t="shared" si="54"/>
        <v>741.07814952841773</v>
      </c>
      <c r="L110" s="109">
        <f t="shared" si="54"/>
        <v>714.84888908734138</v>
      </c>
      <c r="M110" s="109">
        <f t="shared" si="54"/>
        <v>688.79286577632752</v>
      </c>
      <c r="N110" s="109">
        <f t="shared" si="54"/>
        <v>662.90726393692989</v>
      </c>
      <c r="O110" s="109">
        <f t="shared" si="54"/>
        <v>1346.6196681211352</v>
      </c>
      <c r="P110" s="109">
        <f t="shared" si="54"/>
        <v>2435.8856625868798</v>
      </c>
      <c r="Q110" s="109">
        <f t="shared" si="54"/>
        <v>2410.4944307880078</v>
      </c>
      <c r="R110" s="109">
        <f t="shared" si="54"/>
        <v>2385.2623548586134</v>
      </c>
      <c r="S110" s="109">
        <f t="shared" si="54"/>
        <v>2360.1866150915375</v>
      </c>
      <c r="T110" s="109">
        <f t="shared" si="54"/>
        <v>2335.2643894108987</v>
      </c>
      <c r="U110" s="109">
        <f t="shared" si="54"/>
        <v>2310.4928528384899</v>
      </c>
      <c r="V110" s="109">
        <f t="shared" si="54"/>
        <v>2285.8691769538777</v>
      </c>
      <c r="W110" s="109">
        <f t="shared" si="54"/>
        <v>2261.3905293480457</v>
      </c>
      <c r="X110" s="109">
        <f t="shared" ref="X110:AB110" si="55">X95+X98+X101+X104+X107</f>
        <v>295.52871445898916</v>
      </c>
      <c r="Y110" s="109">
        <f t="shared" si="55"/>
        <v>301.43928874816891</v>
      </c>
      <c r="Z110" s="109">
        <f t="shared" si="55"/>
        <v>307.46807452313232</v>
      </c>
      <c r="AA110" s="109">
        <f t="shared" si="55"/>
        <v>313.61743601359495</v>
      </c>
      <c r="AB110" s="109">
        <f t="shared" si="55"/>
        <v>319.8897847338668</v>
      </c>
    </row>
    <row r="111" spans="3:28"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</row>
    <row r="114" spans="3:22">
      <c r="C114" s="109">
        <f>'Simulazione 4.4'!E78</f>
        <v>-98978.016560000004</v>
      </c>
      <c r="D114" s="109">
        <f>'Simulazione 4.4'!F78</f>
        <v>-87484.632215999998</v>
      </c>
      <c r="E114" s="109">
        <f>'Simulazione 4.4'!G78</f>
        <v>-76058.641422975998</v>
      </c>
      <c r="F114" s="109">
        <f>'Simulazione 4.4'!H78</f>
        <v>-64699.050561005213</v>
      </c>
      <c r="G114" s="109">
        <f>'Simulazione 4.4'!I78</f>
        <v>-53404.867211184894</v>
      </c>
      <c r="H114" s="109">
        <f>'Simulazione 4.4'!J78</f>
        <v>-42175.099989991926</v>
      </c>
      <c r="I114" s="109">
        <f>'Simulazione 4.4'!K78</f>
        <v>-31008.758382036649</v>
      </c>
      <c r="J114" s="109">
        <f>'Simulazione 4.4'!L78</f>
        <v>-19904.852571163265</v>
      </c>
      <c r="K114" s="109">
        <f>'Simulazione 4.4'!M78</f>
        <v>-8862.3932698486406</v>
      </c>
      <c r="L114" s="109">
        <f>'Simulazione 4.4'!N78</f>
        <v>2119.6084531496326</v>
      </c>
      <c r="M114" s="109">
        <f>'Simulazione 4.4'!O78</f>
        <v>13042.141346945915</v>
      </c>
      <c r="N114" s="109">
        <f>'Simulazione 4.4'!P78</f>
        <v>23076.469034530724</v>
      </c>
      <c r="O114" s="109">
        <f>'Simulazione 4.4'!Q78</f>
        <v>31749.45179067822</v>
      </c>
      <c r="P114" s="109">
        <f>'Simulazione 4.4'!R78</f>
        <v>40365.932641809544</v>
      </c>
      <c r="Q114" s="109">
        <f>'Simulazione 4.4'!S78</f>
        <v>48926.901387865641</v>
      </c>
      <c r="R114" s="109">
        <f>'Simulazione 4.4'!T78</f>
        <v>57433.348546243877</v>
      </c>
      <c r="S114" s="109">
        <f>'Simulazione 4.4'!U78</f>
        <v>65886.265537854095</v>
      </c>
      <c r="T114" s="109">
        <f>'Simulazione 4.4'!V78</f>
        <v>74286.64487535035</v>
      </c>
      <c r="U114" s="109">
        <f>'Simulazione 4.4'!W78</f>
        <v>82635.480353595878</v>
      </c>
      <c r="V114" s="109">
        <f>'Simulazione 4.4'!X78</f>
        <v>90933.767242419664</v>
      </c>
    </row>
    <row r="117" spans="3:22">
      <c r="C117" s="6" t="s">
        <v>90</v>
      </c>
      <c r="D117" s="6" t="b">
        <f>AND(D76&gt;1,D76&lt;4)</f>
        <v>1</v>
      </c>
    </row>
    <row r="119" spans="3:22">
      <c r="D119" s="193" t="s">
        <v>128</v>
      </c>
      <c r="E119" s="193"/>
      <c r="F119" s="193"/>
    </row>
    <row r="120" spans="3:22" ht="15.75" thickBot="1"/>
    <row r="121" spans="3:22">
      <c r="D121" s="23"/>
      <c r="E121" s="15"/>
      <c r="F121" s="194" t="s">
        <v>4</v>
      </c>
      <c r="G121" s="195"/>
      <c r="H121" s="119"/>
      <c r="I121" s="119"/>
      <c r="J121" s="120"/>
      <c r="K121" s="15"/>
      <c r="L121" s="194" t="s">
        <v>5</v>
      </c>
      <c r="M121" s="195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9"/>
      <c r="I122" s="119"/>
      <c r="J122" s="121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4.4'!$C$3&lt;=3,'Simulazione 4.4'!$C$3&gt;=1)</f>
        <v>0</v>
      </c>
      <c r="E123" s="28" t="s">
        <v>6</v>
      </c>
      <c r="F123" s="5">
        <v>208</v>
      </c>
      <c r="G123" s="26">
        <f t="shared" ref="G123:G128" si="56">F123-82</f>
        <v>126</v>
      </c>
      <c r="H123" s="119">
        <f t="shared" ref="H123:H128" si="57">IF(D123=TRUE,(F123+L123)/2,0)</f>
        <v>0</v>
      </c>
      <c r="I123" s="119">
        <f t="shared" ref="I123:I128" si="58">IF(D123=TRUE,(G123+M123)/2,0)</f>
        <v>0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4.4'!$C$3&lt;=20,'Simulazione 4.4'!$C$3&gt;3)</f>
        <v>0</v>
      </c>
      <c r="E124" s="28" t="s">
        <v>7</v>
      </c>
      <c r="F124" s="5">
        <v>196</v>
      </c>
      <c r="G124" s="26">
        <f t="shared" si="56"/>
        <v>114</v>
      </c>
      <c r="H124" s="119">
        <f t="shared" si="57"/>
        <v>0</v>
      </c>
      <c r="I124" s="119">
        <f t="shared" si="58"/>
        <v>0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4.4'!$C$3&lt;=200,'Simulazione 4.4'!$C$3&gt;20)</f>
        <v>1</v>
      </c>
      <c r="E125" s="28" t="s">
        <v>8</v>
      </c>
      <c r="F125" s="5">
        <v>175</v>
      </c>
      <c r="G125" s="26">
        <f t="shared" si="56"/>
        <v>93</v>
      </c>
      <c r="H125" s="119">
        <f t="shared" si="57"/>
        <v>171.5</v>
      </c>
      <c r="I125" s="119">
        <f t="shared" si="58"/>
        <v>89.5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4.4'!$C$3&lt;=1000,'Simulazione 4.4'!$C$3&gt;200)</f>
        <v>0</v>
      </c>
      <c r="E126" s="28" t="s">
        <v>9</v>
      </c>
      <c r="F126" s="5">
        <v>142</v>
      </c>
      <c r="G126" s="26">
        <f t="shared" si="56"/>
        <v>60</v>
      </c>
      <c r="H126" s="119">
        <f t="shared" si="57"/>
        <v>0</v>
      </c>
      <c r="I126" s="119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4.4'!$C$3&lt;=5000,'Simulazione 4.4'!$C$3&gt;1000)</f>
        <v>0</v>
      </c>
      <c r="E127" s="28" t="s">
        <v>10</v>
      </c>
      <c r="F127" s="5">
        <v>126</v>
      </c>
      <c r="G127" s="26">
        <f t="shared" si="56"/>
        <v>44</v>
      </c>
      <c r="H127" s="119">
        <f t="shared" si="57"/>
        <v>0</v>
      </c>
      <c r="I127" s="119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4.4'!$C$3&gt;=5000)</f>
        <v>0</v>
      </c>
      <c r="E128" s="35" t="s">
        <v>11</v>
      </c>
      <c r="F128" s="36">
        <v>119</v>
      </c>
      <c r="G128" s="37">
        <f t="shared" si="56"/>
        <v>37</v>
      </c>
      <c r="H128" s="119">
        <f t="shared" si="57"/>
        <v>0</v>
      </c>
      <c r="I128" s="119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9"/>
      <c r="G129" s="119"/>
      <c r="H129" s="42">
        <f>IF($H$9=3,H123+H124+H125+H126+H127+H128,0)</f>
        <v>0</v>
      </c>
      <c r="I129" s="42">
        <f>IF($H$9=3,I123+I124+I125+I126+I127+I128,0)</f>
        <v>0</v>
      </c>
      <c r="K129" s="119"/>
      <c r="L129" s="119"/>
      <c r="M129" s="119"/>
      <c r="N129" s="5"/>
      <c r="O129" s="5"/>
    </row>
    <row r="130" spans="4:15">
      <c r="F130" s="119"/>
      <c r="G130" s="119"/>
      <c r="H130" s="5"/>
      <c r="I130" s="5"/>
      <c r="K130" s="119"/>
      <c r="L130" s="119"/>
      <c r="M130" s="119"/>
      <c r="N130" s="5"/>
      <c r="O130" s="5"/>
    </row>
    <row r="131" spans="4:15" ht="15.75" thickBot="1">
      <c r="F131" s="196"/>
      <c r="G131" s="196"/>
      <c r="H131" s="119"/>
      <c r="I131" s="119"/>
      <c r="K131" s="119"/>
      <c r="L131" s="196"/>
      <c r="M131" s="196"/>
      <c r="N131" s="5"/>
      <c r="O131" s="5"/>
    </row>
    <row r="132" spans="4:15" ht="15.75">
      <c r="D132" s="88"/>
      <c r="E132" s="89"/>
      <c r="F132" s="90" t="s">
        <v>2</v>
      </c>
      <c r="G132" s="91" t="s">
        <v>3</v>
      </c>
      <c r="H132" s="49"/>
      <c r="I132" s="49"/>
      <c r="J132" s="88"/>
      <c r="K132" s="89"/>
      <c r="L132" s="90" t="s">
        <v>2</v>
      </c>
      <c r="M132" s="91" t="s">
        <v>3</v>
      </c>
      <c r="N132" s="47"/>
      <c r="O132" s="47"/>
    </row>
    <row r="133" spans="4:15" ht="15.75">
      <c r="D133" s="22" t="b">
        <f>AND($D$1=2,$D$7=1,'Simulazione 4.4'!$C$3&lt;=3,'Simulazione 4.4'!$C$3&gt;=1)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9">
        <f t="shared" ref="H133:H138" si="61">IF(D133=TRUE,(F133+L133)/2,0)</f>
        <v>0</v>
      </c>
      <c r="I133" s="119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4.4'!$C$3&lt;=20,'Simulazione 4.4'!$C$3&gt;3)</f>
        <v>0</v>
      </c>
      <c r="E134" s="28" t="s">
        <v>7</v>
      </c>
      <c r="F134" s="51">
        <v>171</v>
      </c>
      <c r="G134" s="52">
        <f t="shared" si="60"/>
        <v>89</v>
      </c>
      <c r="H134" s="119">
        <f t="shared" si="61"/>
        <v>0</v>
      </c>
      <c r="I134" s="119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4.4'!$C$3&lt;=200,'Simulazione 4.4'!$C$3&gt;20)</f>
        <v>0</v>
      </c>
      <c r="E135" s="28" t="s">
        <v>8</v>
      </c>
      <c r="F135" s="51">
        <v>157</v>
      </c>
      <c r="G135" s="52">
        <f t="shared" si="60"/>
        <v>75</v>
      </c>
      <c r="H135" s="119">
        <f t="shared" si="61"/>
        <v>0</v>
      </c>
      <c r="I135" s="119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4.4'!$C$3&lt;=1000,'Simulazione 4.4'!$C$3&gt;200)</f>
        <v>0</v>
      </c>
      <c r="E136" s="28" t="s">
        <v>9</v>
      </c>
      <c r="F136" s="47">
        <v>130</v>
      </c>
      <c r="G136" s="48">
        <f t="shared" si="60"/>
        <v>48</v>
      </c>
      <c r="H136" s="119">
        <f t="shared" si="61"/>
        <v>0</v>
      </c>
      <c r="I136" s="119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4.4'!$C$3&lt;=5000,'Simulazione 4.4'!$C$3&gt;1000)</f>
        <v>0</v>
      </c>
      <c r="E137" s="28" t="s">
        <v>10</v>
      </c>
      <c r="F137" s="51">
        <v>118</v>
      </c>
      <c r="G137" s="52">
        <f t="shared" si="60"/>
        <v>36</v>
      </c>
      <c r="H137" s="119">
        <f t="shared" si="61"/>
        <v>0</v>
      </c>
      <c r="I137" s="119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4.4'!$C$3&gt;=5000)</f>
        <v>0</v>
      </c>
      <c r="E138" s="35" t="s">
        <v>11</v>
      </c>
      <c r="F138" s="57">
        <v>112</v>
      </c>
      <c r="G138" s="58">
        <f t="shared" si="60"/>
        <v>30</v>
      </c>
      <c r="H138" s="119">
        <f t="shared" si="61"/>
        <v>0</v>
      </c>
      <c r="I138" s="119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8"/>
      <c r="E142" s="89"/>
      <c r="F142" s="90" t="s">
        <v>2</v>
      </c>
      <c r="G142" s="91" t="s">
        <v>3</v>
      </c>
      <c r="H142" s="49"/>
      <c r="I142" s="49"/>
      <c r="J142" s="88"/>
      <c r="K142" s="89"/>
      <c r="L142" s="90" t="s">
        <v>2</v>
      </c>
      <c r="M142" s="91" t="s">
        <v>3</v>
      </c>
      <c r="N142" s="47"/>
      <c r="O142" s="47"/>
    </row>
    <row r="143" spans="4:15" ht="15.75">
      <c r="D143" s="22" t="b">
        <f>AND($D$1=3,$D$7=1,'Simulazione 4.4'!$C$3&lt;=3,'Simulazione 4.4'!$C$3&gt;=1)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9">
        <f t="shared" ref="H143:H148" si="65">IF(D143=TRUE,(F143+L143)/2,0)</f>
        <v>0</v>
      </c>
      <c r="I143" s="119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4.4'!$C$3&lt;=20,'Simulazione 4.4'!$C$3&gt;3)</f>
        <v>0</v>
      </c>
      <c r="E144" s="28" t="s">
        <v>7</v>
      </c>
      <c r="F144" s="51">
        <v>149</v>
      </c>
      <c r="G144" s="52">
        <f t="shared" si="64"/>
        <v>67</v>
      </c>
      <c r="H144" s="119">
        <f t="shared" si="65"/>
        <v>0</v>
      </c>
      <c r="I144" s="119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4.4'!$C$3&lt;=200,'Simulazione 4.4'!$C$3&gt;20)</f>
        <v>0</v>
      </c>
      <c r="E145" s="28" t="s">
        <v>8</v>
      </c>
      <c r="F145" s="51">
        <v>141</v>
      </c>
      <c r="G145" s="52">
        <f t="shared" si="64"/>
        <v>59</v>
      </c>
      <c r="H145" s="119">
        <f t="shared" si="65"/>
        <v>0</v>
      </c>
      <c r="I145" s="119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4.4'!$C$3&lt;=1000,'Simulazione 4.4'!$C$3&gt;200)</f>
        <v>0</v>
      </c>
      <c r="E146" s="28" t="s">
        <v>9</v>
      </c>
      <c r="F146" s="47">
        <v>118</v>
      </c>
      <c r="G146" s="48">
        <f t="shared" si="64"/>
        <v>36</v>
      </c>
      <c r="H146" s="119">
        <f t="shared" si="65"/>
        <v>0</v>
      </c>
      <c r="I146" s="119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4.4'!$C$3&lt;=5000,'Simulazione 4.4'!$C$3&gt;1000)</f>
        <v>0</v>
      </c>
      <c r="E147" s="28" t="s">
        <v>10</v>
      </c>
      <c r="F147" s="51">
        <v>110</v>
      </c>
      <c r="G147" s="52">
        <f t="shared" si="64"/>
        <v>28</v>
      </c>
      <c r="H147" s="119">
        <f t="shared" si="65"/>
        <v>0</v>
      </c>
      <c r="I147" s="119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4.4'!$C$3&gt;=5000)</f>
        <v>0</v>
      </c>
      <c r="E148" s="35" t="s">
        <v>11</v>
      </c>
      <c r="F148" s="57">
        <v>104</v>
      </c>
      <c r="G148" s="58">
        <f t="shared" si="64"/>
        <v>22</v>
      </c>
      <c r="H148" s="119">
        <f t="shared" si="65"/>
        <v>0</v>
      </c>
      <c r="I148" s="119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8"/>
      <c r="E154" s="89"/>
      <c r="F154" s="90" t="s">
        <v>2</v>
      </c>
      <c r="G154" s="91" t="s">
        <v>3</v>
      </c>
      <c r="H154" s="49"/>
      <c r="I154" s="49"/>
      <c r="J154" s="88"/>
      <c r="K154" s="89"/>
      <c r="L154" s="90" t="s">
        <v>2</v>
      </c>
      <c r="M154" s="91" t="s">
        <v>3</v>
      </c>
      <c r="N154" s="47"/>
      <c r="O154" s="47"/>
    </row>
    <row r="155" spans="4:15" ht="15.75">
      <c r="D155" s="22" t="b">
        <f>AND($D$1=4,$D$7=1,'Simulazione 4.4'!$C$3&lt;=3,'Simulazione 4.4'!$C$3&gt;=1)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9">
        <f t="shared" ref="H155:H160" si="69">IF(D155=TRUE,(F155+L155)/2,0)</f>
        <v>0</v>
      </c>
      <c r="I155" s="119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4.4'!$C$3&lt;=20,'Simulazione 4.4'!$C$3&gt;3)</f>
        <v>0</v>
      </c>
      <c r="E156" s="28" t="s">
        <v>7</v>
      </c>
      <c r="F156" s="51">
        <v>137</v>
      </c>
      <c r="G156" s="52">
        <f t="shared" si="68"/>
        <v>55</v>
      </c>
      <c r="H156" s="119">
        <f t="shared" si="69"/>
        <v>0</v>
      </c>
      <c r="I156" s="119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4.4'!$C$3&lt;=200,'Simulazione 4.4'!$C$3&gt;20)</f>
        <v>0</v>
      </c>
      <c r="E157" s="28" t="s">
        <v>8</v>
      </c>
      <c r="F157" s="51">
        <v>131</v>
      </c>
      <c r="G157" s="52">
        <f t="shared" si="68"/>
        <v>49</v>
      </c>
      <c r="H157" s="119">
        <f t="shared" si="69"/>
        <v>0</v>
      </c>
      <c r="I157" s="119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4.4'!$C$3&lt;=1000,'Simulazione 4.4'!$C$3&gt;200)</f>
        <v>0</v>
      </c>
      <c r="E158" s="28" t="s">
        <v>9</v>
      </c>
      <c r="F158" s="47">
        <v>111</v>
      </c>
      <c r="G158" s="48">
        <f t="shared" si="68"/>
        <v>29</v>
      </c>
      <c r="H158" s="119">
        <f t="shared" si="69"/>
        <v>0</v>
      </c>
      <c r="I158" s="119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4.4'!$C$3&lt;=5000,'Simulazione 4.4'!$C$3&gt;1000)</f>
        <v>0</v>
      </c>
      <c r="E159" s="28" t="s">
        <v>10</v>
      </c>
      <c r="F159" s="51">
        <v>105</v>
      </c>
      <c r="G159" s="52">
        <f t="shared" si="68"/>
        <v>23</v>
      </c>
      <c r="H159" s="119">
        <f t="shared" si="69"/>
        <v>0</v>
      </c>
      <c r="I159" s="119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4.4'!$C$3&gt;=5000)</f>
        <v>0</v>
      </c>
      <c r="E160" s="35" t="s">
        <v>11</v>
      </c>
      <c r="F160" s="57">
        <v>99</v>
      </c>
      <c r="G160" s="58">
        <f t="shared" si="68"/>
        <v>17</v>
      </c>
      <c r="H160" s="119">
        <f t="shared" si="69"/>
        <v>0</v>
      </c>
      <c r="I160" s="119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8"/>
      <c r="E168" s="89"/>
      <c r="F168" s="90" t="s">
        <v>2</v>
      </c>
      <c r="G168" s="91" t="s">
        <v>3</v>
      </c>
      <c r="H168" s="49"/>
      <c r="I168" s="49"/>
      <c r="J168" s="88"/>
      <c r="K168" s="89"/>
      <c r="L168" s="90" t="s">
        <v>2</v>
      </c>
      <c r="M168" s="91" t="s">
        <v>3</v>
      </c>
      <c r="N168" s="47"/>
      <c r="O168" s="47"/>
    </row>
    <row r="169" spans="4:15" ht="15.75">
      <c r="D169" s="22" t="b">
        <f>AND($D$1=5,$D$7=1,'Simulazione 4.4'!$C$3&lt;=3,'Simulazione 4.4'!$C$3&gt;=1)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9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4.4'!$C$3&lt;=20,'Simulazione 4.4'!$C$3&gt;3)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9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4.4'!$C$3&lt;=200,'Simulazione 4.4'!$C$3&gt;20)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9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4.4'!$C$3&lt;=1000,'Simulazione 4.4'!$C$3&gt;200)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9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4.4'!$C$3&lt;=5000,'Simulazione 4.4'!$C$3&gt;1000)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9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4.4'!$C$3&gt;=5000)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9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193" t="s">
        <v>127</v>
      </c>
      <c r="E179" s="193"/>
      <c r="F179" s="193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194" t="s">
        <v>4</v>
      </c>
      <c r="G182" s="195"/>
      <c r="H182" s="119"/>
      <c r="I182" s="119"/>
      <c r="J182" s="5"/>
      <c r="K182" s="2"/>
      <c r="L182" s="197"/>
      <c r="M182" s="197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9"/>
      <c r="I183" s="119"/>
      <c r="J183" s="5"/>
      <c r="K183" s="2"/>
      <c r="L183" s="5"/>
      <c r="M183" s="5"/>
      <c r="N183" s="2"/>
      <c r="O183" s="2"/>
    </row>
    <row r="184" spans="4:15">
      <c r="D184" s="22" t="b">
        <f>AND($D$1=1,'Simulazione 4.4'!$C$3&lt;=20,'Simulazione 4.4'!$C$3&gt;=1)</f>
        <v>0</v>
      </c>
      <c r="E184" s="28" t="s">
        <v>129</v>
      </c>
      <c r="F184" s="5">
        <v>288</v>
      </c>
      <c r="G184" s="26">
        <v>186</v>
      </c>
      <c r="H184" s="119">
        <f>IF(D184=TRUE,F184,0)</f>
        <v>0</v>
      </c>
      <c r="I184" s="119">
        <f>IF(D184=TRUE,G184,0)</f>
        <v>0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4.4'!$C$3&lt;=200,'Simulazione 4.4'!$C$3&gt;20)</f>
        <v>1</v>
      </c>
      <c r="E185" s="28" t="s">
        <v>8</v>
      </c>
      <c r="F185" s="5">
        <v>276</v>
      </c>
      <c r="G185" s="26">
        <v>174</v>
      </c>
      <c r="H185" s="119">
        <f t="shared" ref="H185:H186" si="76">IF(D185=TRUE,F185,0)</f>
        <v>276</v>
      </c>
      <c r="I185" s="119">
        <f>IF(D185=TRUE,G185,0)</f>
        <v>174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4.4'!$C$3&gt;200)</f>
        <v>0</v>
      </c>
      <c r="E186" s="35" t="s">
        <v>130</v>
      </c>
      <c r="F186" s="36">
        <v>255</v>
      </c>
      <c r="G186" s="37">
        <v>153</v>
      </c>
      <c r="H186" s="119">
        <f t="shared" si="76"/>
        <v>0</v>
      </c>
      <c r="I186" s="119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9"/>
      <c r="G187" s="119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194" t="s">
        <v>4</v>
      </c>
      <c r="G189" s="195"/>
      <c r="H189" s="119"/>
      <c r="I189" s="119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9"/>
      <c r="I190" s="119"/>
      <c r="J190" s="2"/>
      <c r="K190" s="2"/>
      <c r="L190" s="2"/>
      <c r="M190" s="2"/>
      <c r="N190" s="2"/>
      <c r="O190" s="2"/>
    </row>
    <row r="191" spans="4:15">
      <c r="D191" s="22" t="b">
        <f>AND($D$1=2,'Simulazione 4.4'!$C$3&lt;=20,'Simulazione 4.4'!$C$3&gt;=1)</f>
        <v>0</v>
      </c>
      <c r="E191" s="28" t="s">
        <v>129</v>
      </c>
      <c r="F191" s="5">
        <v>242</v>
      </c>
      <c r="G191" s="26">
        <v>160</v>
      </c>
      <c r="H191" s="119">
        <f t="shared" ref="H191:H193" si="77">IF(D191=TRUE,F191,0)</f>
        <v>0</v>
      </c>
      <c r="I191" s="119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4.4'!$C$3&lt;=200,'Simulazione 4.4'!$C$3&gt;20)</f>
        <v>0</v>
      </c>
      <c r="E192" s="28" t="s">
        <v>8</v>
      </c>
      <c r="F192" s="5">
        <v>231</v>
      </c>
      <c r="G192" s="26">
        <v>149</v>
      </c>
      <c r="H192" s="119">
        <f t="shared" si="77"/>
        <v>0</v>
      </c>
      <c r="I192" s="119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4.4'!$C$3&gt;200)</f>
        <v>0</v>
      </c>
      <c r="E193" s="35" t="s">
        <v>130</v>
      </c>
      <c r="F193" s="36">
        <v>217</v>
      </c>
      <c r="G193" s="37">
        <v>135</v>
      </c>
      <c r="H193" s="119">
        <f t="shared" si="77"/>
        <v>0</v>
      </c>
      <c r="I193" s="119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9"/>
      <c r="G194" s="119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194" t="s">
        <v>4</v>
      </c>
      <c r="G197" s="195"/>
      <c r="H197" s="119"/>
      <c r="I197" s="119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9"/>
      <c r="I198" s="119"/>
    </row>
    <row r="199" spans="4:15">
      <c r="D199" s="22" t="b">
        <f>AND($D$1=3,'Simulazione 4.4'!$C$3&lt;=20,'Simulazione 4.4'!$C$3&gt;=1)</f>
        <v>0</v>
      </c>
      <c r="E199" s="28" t="s">
        <v>129</v>
      </c>
      <c r="F199" s="5">
        <v>218</v>
      </c>
      <c r="G199" s="26">
        <v>144</v>
      </c>
      <c r="H199" s="119">
        <f t="shared" ref="H199:H201" si="79">IF(D199=TRUE,F199,0)</f>
        <v>0</v>
      </c>
      <c r="I199" s="119">
        <f t="shared" ref="I199:I200" si="80">IF(D199=TRUE,G199,0)</f>
        <v>0</v>
      </c>
    </row>
    <row r="200" spans="4:15">
      <c r="D200" s="22" t="b">
        <f>AND($D$1=3,'Simulazione 4.4'!$C$3&lt;=200,'Simulazione 4.4'!$C$3&gt;20)</f>
        <v>0</v>
      </c>
      <c r="E200" s="28" t="s">
        <v>8</v>
      </c>
      <c r="F200" s="5">
        <v>208</v>
      </c>
      <c r="G200" s="26">
        <v>134</v>
      </c>
      <c r="H200" s="119">
        <f t="shared" si="79"/>
        <v>0</v>
      </c>
      <c r="I200" s="119">
        <f t="shared" si="80"/>
        <v>0</v>
      </c>
    </row>
    <row r="201" spans="4:15" ht="15.75" thickBot="1">
      <c r="D201" s="29" t="b">
        <f>AND($D$1=3,'Simulazione 4.4'!$C$3&gt;200)</f>
        <v>0</v>
      </c>
      <c r="E201" s="35" t="s">
        <v>130</v>
      </c>
      <c r="F201" s="36">
        <v>195</v>
      </c>
      <c r="G201" s="37">
        <v>121</v>
      </c>
      <c r="H201" s="119">
        <f t="shared" si="79"/>
        <v>0</v>
      </c>
      <c r="I201" s="119">
        <f>IF(D201=TRUE,(G201+M201)/2,0)</f>
        <v>0</v>
      </c>
    </row>
    <row r="202" spans="4:15" ht="15.75" thickBot="1">
      <c r="F202" s="119"/>
      <c r="G202" s="119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194" t="s">
        <v>4</v>
      </c>
      <c r="G205" s="195"/>
      <c r="H205" s="119"/>
      <c r="I205" s="119"/>
    </row>
    <row r="206" spans="4:15">
      <c r="D206" s="22"/>
      <c r="E206" s="2"/>
      <c r="F206" s="5" t="s">
        <v>2</v>
      </c>
      <c r="G206" s="26" t="s">
        <v>3</v>
      </c>
      <c r="H206" s="119"/>
      <c r="I206" s="119"/>
    </row>
    <row r="207" spans="4:15">
      <c r="D207" s="22" t="b">
        <f>AND($D$1=4,'Simulazione 4.4'!$C$3&lt;=20,'Simulazione 4.4'!$C$3&gt;=1)</f>
        <v>0</v>
      </c>
      <c r="E207" s="28" t="s">
        <v>129</v>
      </c>
      <c r="F207" s="5">
        <v>196</v>
      </c>
      <c r="G207" s="26">
        <v>130</v>
      </c>
      <c r="H207" s="119">
        <f t="shared" ref="H207:H209" si="81">IF(D207=TRUE,F207,0)</f>
        <v>0</v>
      </c>
      <c r="I207" s="119">
        <f t="shared" ref="I207:I209" si="82">IF(D207=TRUE,G207,0)</f>
        <v>0</v>
      </c>
    </row>
    <row r="208" spans="4:15">
      <c r="D208" s="22" t="b">
        <f>AND($D$1=4,'Simulazione 4.4'!$C$3&lt;=200,'Simulazione 4.4'!$C$3&gt;20)</f>
        <v>0</v>
      </c>
      <c r="E208" s="28" t="s">
        <v>8</v>
      </c>
      <c r="F208" s="5">
        <v>187</v>
      </c>
      <c r="G208" s="26">
        <v>121</v>
      </c>
      <c r="H208" s="119">
        <f t="shared" si="81"/>
        <v>0</v>
      </c>
      <c r="I208" s="119">
        <f t="shared" si="82"/>
        <v>0</v>
      </c>
    </row>
    <row r="209" spans="4:28" ht="15.75" thickBot="1">
      <c r="D209" s="29" t="b">
        <f>AND($D$1=4,'Simulazione 4.4'!$C$3&gt;200)</f>
        <v>0</v>
      </c>
      <c r="E209" s="35" t="s">
        <v>130</v>
      </c>
      <c r="F209" s="36">
        <v>176</v>
      </c>
      <c r="G209" s="37">
        <v>109</v>
      </c>
      <c r="H209" s="119">
        <f t="shared" si="81"/>
        <v>0</v>
      </c>
      <c r="I209" s="119">
        <f t="shared" si="82"/>
        <v>0</v>
      </c>
    </row>
    <row r="210" spans="4:28" ht="15.75" thickBot="1">
      <c r="F210" s="119"/>
      <c r="G210" s="119"/>
      <c r="H210" s="42">
        <f>IF($H$9=2,H207+H208+H209,0)</f>
        <v>0</v>
      </c>
      <c r="I210" s="42">
        <f>IF($H$9=2,I207+I208+I209,0)</f>
        <v>0</v>
      </c>
    </row>
    <row r="212" spans="4:28" ht="15.75" thickBot="1"/>
    <row r="213" spans="4:28">
      <c r="D213" s="23"/>
      <c r="E213" s="15"/>
      <c r="F213" s="194" t="s">
        <v>4</v>
      </c>
      <c r="G213" s="195"/>
      <c r="H213" s="119"/>
      <c r="I213" s="119"/>
    </row>
    <row r="214" spans="4:28">
      <c r="D214" s="22"/>
      <c r="E214" s="2"/>
      <c r="F214" s="5" t="s">
        <v>2</v>
      </c>
      <c r="G214" s="26" t="s">
        <v>3</v>
      </c>
      <c r="H214" s="119"/>
      <c r="I214" s="119"/>
    </row>
    <row r="215" spans="4:28">
      <c r="D215" s="22" t="b">
        <f>AND($D$1=5,'Simulazione 4.4'!$C$3&lt;=20,'Simulazione 4.4'!$C$3&gt;=1)</f>
        <v>0</v>
      </c>
      <c r="E215" s="28" t="s">
        <v>129</v>
      </c>
      <c r="F215" s="5">
        <v>176</v>
      </c>
      <c r="G215" s="26">
        <v>117</v>
      </c>
      <c r="H215" s="119">
        <f t="shared" ref="H215:H217" si="83">IF(D215=TRUE,F215,0)</f>
        <v>0</v>
      </c>
      <c r="I215" s="119">
        <f t="shared" ref="I215:I217" si="84">IF(D215=TRUE,G215,0)</f>
        <v>0</v>
      </c>
    </row>
    <row r="216" spans="4:28">
      <c r="D216" s="22" t="b">
        <f>AND($D$1=5,'Simulazione 4.4'!$C$3&lt;=200,'Simulazione 4.4'!$C$3&gt;20)</f>
        <v>0</v>
      </c>
      <c r="E216" s="28" t="s">
        <v>8</v>
      </c>
      <c r="F216" s="5">
        <v>169</v>
      </c>
      <c r="G216" s="26">
        <v>109</v>
      </c>
      <c r="H216" s="119">
        <f t="shared" si="83"/>
        <v>0</v>
      </c>
      <c r="I216" s="119">
        <f t="shared" si="84"/>
        <v>0</v>
      </c>
    </row>
    <row r="217" spans="4:28" ht="15.75" thickBot="1">
      <c r="D217" s="29" t="b">
        <f>AND($D$1=5,'Simulazione 4.4'!$C$3&gt;200)</f>
        <v>0</v>
      </c>
      <c r="E217" s="35" t="s">
        <v>130</v>
      </c>
      <c r="F217" s="36">
        <v>158</v>
      </c>
      <c r="G217" s="37">
        <v>98</v>
      </c>
      <c r="H217" s="119">
        <f t="shared" si="83"/>
        <v>0</v>
      </c>
      <c r="I217" s="119">
        <f t="shared" si="84"/>
        <v>0</v>
      </c>
    </row>
    <row r="218" spans="4:28" ht="15.75" thickBot="1">
      <c r="F218" s="119"/>
      <c r="G218" s="119"/>
      <c r="H218" s="42">
        <f>IF($H$9=2,H215+H216+H217,0)</f>
        <v>0</v>
      </c>
      <c r="I218" s="42">
        <f>IF($H$9=2,I215+I216+I217,0)</f>
        <v>0</v>
      </c>
    </row>
    <row r="221" spans="4:28">
      <c r="D221" s="6" t="s">
        <v>163</v>
      </c>
    </row>
    <row r="222" spans="4:28"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09">
        <v>20</v>
      </c>
      <c r="X222" s="109">
        <v>21</v>
      </c>
      <c r="Y222" s="109">
        <v>22</v>
      </c>
      <c r="Z222" s="109">
        <v>23</v>
      </c>
      <c r="AA222" s="109">
        <v>24</v>
      </c>
      <c r="AB222" s="109">
        <v>25</v>
      </c>
    </row>
    <row r="223" spans="4:28">
      <c r="D223" s="6">
        <f>'Simulazione 4.4'!C31</f>
        <v>10000</v>
      </c>
      <c r="E223" s="109">
        <f>D223+(Calcoli!D223/100*'Simulazione 4.4'!$C$39)</f>
        <v>10200</v>
      </c>
      <c r="F223" s="109">
        <f>E223+(Calcoli!E223/100*'Simulazione 4.4'!$C$39)</f>
        <v>10404</v>
      </c>
      <c r="G223" s="109">
        <f>F223+(Calcoli!F223/100*'Simulazione 4.4'!$C$39)</f>
        <v>10612.08</v>
      </c>
      <c r="H223" s="109">
        <f>G223+(Calcoli!G223/100*'Simulazione 4.4'!$C$39)</f>
        <v>10824.321599999999</v>
      </c>
      <c r="I223" s="109">
        <f>H223+(Calcoli!H223/100*'Simulazione 4.4'!$C$39)</f>
        <v>11040.808031999999</v>
      </c>
      <c r="J223" s="109">
        <f>I223+(Calcoli!I223/100*'Simulazione 4.4'!$C$39)</f>
        <v>11261.62419264</v>
      </c>
      <c r="K223" s="109">
        <f>J223+(Calcoli!J223/100*'Simulazione 4.4'!$C$39)</f>
        <v>11486.8566764928</v>
      </c>
      <c r="L223" s="109">
        <f>K223+(Calcoli!K223/100*'Simulazione 4.4'!$C$39)</f>
        <v>11716.593810022656</v>
      </c>
      <c r="M223" s="109">
        <f>L223+(Calcoli!L223/100*'Simulazione 4.4'!$C$39)</f>
        <v>11950.925686223109</v>
      </c>
      <c r="N223" s="109">
        <f>M223+(Calcoli!M223/100*'Simulazione 4.4'!$C$39)</f>
        <v>12189.944199947571</v>
      </c>
      <c r="O223" s="109">
        <f>N223+(Calcoli!N223/100*'Simulazione 4.4'!$C$39)</f>
        <v>12433.743083946523</v>
      </c>
      <c r="P223" s="109">
        <f>O223+(Calcoli!O223/100*'Simulazione 4.4'!$C$39)</f>
        <v>12682.417945625453</v>
      </c>
      <c r="Q223" s="109">
        <f>P223+(Calcoli!P223/100*'Simulazione 4.4'!$C$39)</f>
        <v>12936.066304537962</v>
      </c>
      <c r="R223" s="109">
        <f>Q223+(Calcoli!Q223/100*'Simulazione 4.4'!$C$39)</f>
        <v>13194.787630628722</v>
      </c>
      <c r="S223" s="109">
        <f>R223+(Calcoli!R223/100*'Simulazione 4.4'!$C$39)</f>
        <v>13458.683383241296</v>
      </c>
      <c r="T223" s="109">
        <f>S223+(Calcoli!S223/100*'Simulazione 4.4'!$C$39)</f>
        <v>13727.857050906121</v>
      </c>
      <c r="U223" s="109">
        <f>T223+(Calcoli!T223/100*'Simulazione 4.4'!$C$39)</f>
        <v>14002.414191924243</v>
      </c>
      <c r="V223" s="109">
        <f>U223+(Calcoli!U223/100*'Simulazione 4.4'!$C$39)</f>
        <v>14282.462475762728</v>
      </c>
      <c r="W223" s="109">
        <f>V223+(Calcoli!V223/100*'Simulazione 4.4'!$C$39)</f>
        <v>14568.111725277982</v>
      </c>
      <c r="X223" s="109">
        <f>W223+(Calcoli!W223/100*'Simulazione 4.4'!$C$39)</f>
        <v>14859.473959783541</v>
      </c>
      <c r="Y223" s="109">
        <f>X223+(Calcoli!X223/100*'Simulazione 4.4'!$C$39)</f>
        <v>15156.663438979213</v>
      </c>
      <c r="Z223" s="109">
        <f>Y223+(Calcoli!Y223/100*'Simulazione 4.4'!$C$39)</f>
        <v>15459.796707758796</v>
      </c>
      <c r="AA223" s="109">
        <f>Z223+(Calcoli!Z223/100*'Simulazione 4.4'!$C$39)</f>
        <v>15768.992641913972</v>
      </c>
      <c r="AB223" s="109">
        <f>AA223+(Calcoli!AA223/100*'Simulazione 4.4'!$C$39)</f>
        <v>16084.372494752251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F11:G11"/>
    <mergeCell ref="L11:M11"/>
    <mergeCell ref="F21:G21"/>
    <mergeCell ref="L21:M21"/>
    <mergeCell ref="D1:D5"/>
    <mergeCell ref="D7:D8"/>
    <mergeCell ref="L121:M121"/>
    <mergeCell ref="F131:G131"/>
    <mergeCell ref="L131:M131"/>
    <mergeCell ref="F182:G182"/>
    <mergeCell ref="L182:M182"/>
    <mergeCell ref="D179:F179"/>
    <mergeCell ref="D119:F119"/>
    <mergeCell ref="F189:G189"/>
    <mergeCell ref="F197:G197"/>
    <mergeCell ref="F205:G205"/>
    <mergeCell ref="F213:G213"/>
    <mergeCell ref="F121:G12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4.4</vt:lpstr>
      <vt:lpstr>Calcoli</vt:lpstr>
      <vt:lpstr>'Simulazione 4.4'!Area_stampa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2012-07-19T19:17:44Z</dcterms:modified>
</cp:coreProperties>
</file>