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4.7" sheetId="1" r:id="rId1"/>
    <sheet name="Calcoli" sheetId="6" r:id="rId2"/>
  </sheets>
  <definedNames>
    <definedName name="_xlnm.Print_Area" localSheetId="0">'Simulazione 4.7'!$A$1:$X$78</definedName>
  </definedNames>
  <calcPr calcId="125725" forceFullCalc="1"/>
</workbook>
</file>

<file path=xl/calcChain.xml><?xml version="1.0" encoding="utf-8"?>
<calcChain xmlns="http://schemas.openxmlformats.org/spreadsheetml/2006/main">
  <c r="D230" i="6"/>
  <c r="D227"/>
  <c r="D223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4"/>
  <c r="AB74"/>
  <c r="AA74"/>
  <c r="Z74"/>
  <c r="Y74"/>
  <c r="AC69"/>
  <c r="AB69"/>
  <c r="AA69"/>
  <c r="Z69"/>
  <c r="Y69"/>
  <c r="E73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0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X81" l="1"/>
  <c r="AB81"/>
  <c r="Y86"/>
  <c r="AA81"/>
  <c r="X86"/>
  <c r="AB86"/>
  <c r="Z81"/>
  <c r="AA86"/>
  <c r="Y81"/>
  <c r="P77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E72" i="1" l="1"/>
  <c r="I218" i="6"/>
  <c r="I210"/>
  <c r="I194"/>
  <c r="I202"/>
  <c r="I187"/>
  <c r="I149"/>
  <c r="I175"/>
  <c r="I161"/>
  <c r="I139"/>
  <c r="I129"/>
  <c r="E82"/>
  <c r="D85"/>
  <c r="F82" l="1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4" i="1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H51" i="6" l="1"/>
  <c r="H65"/>
  <c r="N65"/>
  <c r="O29"/>
  <c r="I29"/>
  <c r="P11"/>
  <c r="P12"/>
  <c r="R12" s="1"/>
  <c r="P9"/>
  <c r="R9" s="1"/>
  <c r="P10"/>
  <c r="R10" s="1"/>
  <c r="P7"/>
  <c r="R7" s="1"/>
  <c r="P8"/>
  <c r="P5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R11"/>
  <c r="R8"/>
  <c r="R5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R1" l="1"/>
  <c r="R27" s="1"/>
  <c r="O65"/>
  <c r="O51"/>
  <c r="I65"/>
  <c r="I51"/>
  <c r="N39"/>
  <c r="N29"/>
  <c r="H39"/>
  <c r="O19"/>
  <c r="H29"/>
  <c r="N19"/>
  <c r="I19"/>
  <c r="H19"/>
  <c r="H82"/>
  <c r="G85"/>
  <c r="C30" i="1"/>
  <c r="F25" l="1"/>
  <c r="F26"/>
  <c r="E25"/>
  <c r="E26"/>
  <c r="Q52" i="6"/>
  <c r="S52" s="1"/>
  <c r="Q53"/>
  <c r="S53" s="1"/>
  <c r="I82"/>
  <c r="H85"/>
  <c r="C41" i="1"/>
  <c r="E53"/>
  <c r="E71" l="1"/>
  <c r="Z71"/>
  <c r="V71"/>
  <c r="R71"/>
  <c r="N71"/>
  <c r="J71"/>
  <c r="F71"/>
  <c r="AA71"/>
  <c r="W71"/>
  <c r="S71"/>
  <c r="O71"/>
  <c r="K71"/>
  <c r="G71"/>
  <c r="AB71"/>
  <c r="X71"/>
  <c r="T71"/>
  <c r="P71"/>
  <c r="L71"/>
  <c r="H71"/>
  <c r="AC71"/>
  <c r="Y71"/>
  <c r="U71"/>
  <c r="Q71"/>
  <c r="M71"/>
  <c r="I71"/>
  <c r="D25"/>
  <c r="D26"/>
  <c r="F53"/>
  <c r="S55" i="6"/>
  <c r="C33" i="1" s="1"/>
  <c r="J82" i="6"/>
  <c r="I85"/>
  <c r="C35" i="1" l="1"/>
  <c r="G53"/>
  <c r="E54"/>
  <c r="E59" s="1"/>
  <c r="C34"/>
  <c r="K82" i="6"/>
  <c r="J85"/>
  <c r="E55" i="1" l="1"/>
  <c r="E60" s="1"/>
  <c r="H53"/>
  <c r="E61"/>
  <c r="F54"/>
  <c r="F59" s="1"/>
  <c r="L82" i="6"/>
  <c r="K85"/>
  <c r="F55" i="1" l="1"/>
  <c r="F60" s="1"/>
  <c r="I53"/>
  <c r="G54"/>
  <c r="G59" s="1"/>
  <c r="F61"/>
  <c r="M82" i="6"/>
  <c r="L85"/>
  <c r="J53" i="1" l="1"/>
  <c r="H54"/>
  <c r="H59" s="1"/>
  <c r="G55"/>
  <c r="G60" s="1"/>
  <c r="G61"/>
  <c r="N82" i="6"/>
  <c r="M85"/>
  <c r="K53" i="1" l="1"/>
  <c r="I54"/>
  <c r="I59" s="1"/>
  <c r="H55"/>
  <c r="H60" s="1"/>
  <c r="H61"/>
  <c r="O82" i="6"/>
  <c r="N85"/>
  <c r="L53" i="1" l="1"/>
  <c r="J54"/>
  <c r="J59" s="1"/>
  <c r="I55"/>
  <c r="I60" s="1"/>
  <c r="I61"/>
  <c r="P82" i="6"/>
  <c r="O85"/>
  <c r="M53" i="1" l="1"/>
  <c r="K54"/>
  <c r="K59" s="1"/>
  <c r="J55"/>
  <c r="J60" s="1"/>
  <c r="J61"/>
  <c r="Q82" i="6"/>
  <c r="P85"/>
  <c r="N53" i="1" l="1"/>
  <c r="L54"/>
  <c r="L59" s="1"/>
  <c r="K55"/>
  <c r="K60" s="1"/>
  <c r="K61"/>
  <c r="R82" i="6"/>
  <c r="Q85"/>
  <c r="O53" i="1" l="1"/>
  <c r="M54"/>
  <c r="M59" s="1"/>
  <c r="L55"/>
  <c r="L60" s="1"/>
  <c r="L61"/>
  <c r="S82" i="6"/>
  <c r="R85"/>
  <c r="P53" i="1" l="1"/>
  <c r="N54"/>
  <c r="N59" s="1"/>
  <c r="M55"/>
  <c r="M60" s="1"/>
  <c r="M61"/>
  <c r="T82" i="6"/>
  <c r="S85"/>
  <c r="Q53" i="1" l="1"/>
  <c r="O54"/>
  <c r="O59" s="1"/>
  <c r="N55"/>
  <c r="N60" s="1"/>
  <c r="N61"/>
  <c r="U82" i="6"/>
  <c r="T85"/>
  <c r="R53" i="1" l="1"/>
  <c r="P54"/>
  <c r="P59" s="1"/>
  <c r="O55"/>
  <c r="O60" s="1"/>
  <c r="O61"/>
  <c r="V82" i="6"/>
  <c r="U85"/>
  <c r="S53" i="1" l="1"/>
  <c r="Q54"/>
  <c r="Q59" s="1"/>
  <c r="P55"/>
  <c r="P60" s="1"/>
  <c r="P61"/>
  <c r="W82" i="6"/>
  <c r="V85"/>
  <c r="W85" l="1"/>
  <c r="X82"/>
  <c r="T53" i="1"/>
  <c r="R54"/>
  <c r="R59" s="1"/>
  <c r="Q55"/>
  <c r="Q60" s="1"/>
  <c r="Q61"/>
  <c r="X85" i="6" l="1"/>
  <c r="Y82"/>
  <c r="U53" i="1"/>
  <c r="S54"/>
  <c r="S59" s="1"/>
  <c r="R55"/>
  <c r="R60" s="1"/>
  <c r="R61"/>
  <c r="Y85" i="6" l="1"/>
  <c r="Z82"/>
  <c r="V53" i="1"/>
  <c r="T54"/>
  <c r="T59" s="1"/>
  <c r="S55"/>
  <c r="S60" s="1"/>
  <c r="S61"/>
  <c r="S58"/>
  <c r="T58" l="1"/>
  <c r="E58"/>
  <c r="F58"/>
  <c r="G58"/>
  <c r="H58"/>
  <c r="I58"/>
  <c r="J58"/>
  <c r="K58"/>
  <c r="L58"/>
  <c r="M58"/>
  <c r="N58"/>
  <c r="O58"/>
  <c r="P58"/>
  <c r="Q58"/>
  <c r="R58"/>
  <c r="G57"/>
  <c r="H57"/>
  <c r="I57"/>
  <c r="J57"/>
  <c r="K57"/>
  <c r="L57"/>
  <c r="M57"/>
  <c r="N57"/>
  <c r="O57"/>
  <c r="P57"/>
  <c r="Q57"/>
  <c r="R57"/>
  <c r="S57"/>
  <c r="E57"/>
  <c r="F57"/>
  <c r="Z85" i="6"/>
  <c r="AA82"/>
  <c r="W53" i="1"/>
  <c r="U54"/>
  <c r="U59" s="1"/>
  <c r="T55"/>
  <c r="T61"/>
  <c r="T57" l="1"/>
  <c r="T60"/>
  <c r="U58"/>
  <c r="AA85" i="6"/>
  <c r="AB82"/>
  <c r="AB85" s="1"/>
  <c r="X53" i="1"/>
  <c r="Y53" s="1"/>
  <c r="V54"/>
  <c r="V59" s="1"/>
  <c r="U61"/>
  <c r="U55"/>
  <c r="E62"/>
  <c r="F62"/>
  <c r="I62"/>
  <c r="O62"/>
  <c r="L62"/>
  <c r="G62"/>
  <c r="R62"/>
  <c r="Q62"/>
  <c r="J62"/>
  <c r="P62"/>
  <c r="K62"/>
  <c r="H62"/>
  <c r="S62"/>
  <c r="N62"/>
  <c r="M62"/>
  <c r="T62" l="1"/>
  <c r="U57"/>
  <c r="U60"/>
  <c r="V58"/>
  <c r="Z53"/>
  <c r="W54"/>
  <c r="W59" s="1"/>
  <c r="V61"/>
  <c r="V55"/>
  <c r="V57" l="1"/>
  <c r="V60"/>
  <c r="W58"/>
  <c r="U62"/>
  <c r="AA53"/>
  <c r="X54"/>
  <c r="X59" s="1"/>
  <c r="W55"/>
  <c r="W61"/>
  <c r="W57" l="1"/>
  <c r="W60"/>
  <c r="Y54"/>
  <c r="Y59" s="1"/>
  <c r="X58"/>
  <c r="V62"/>
  <c r="AB53"/>
  <c r="X61"/>
  <c r="X55"/>
  <c r="D88" i="6"/>
  <c r="E64" i="1" s="1"/>
  <c r="D67" i="6" s="1"/>
  <c r="X57" i="1" l="1"/>
  <c r="X60"/>
  <c r="Y61"/>
  <c r="Z54"/>
  <c r="Z59" s="1"/>
  <c r="Y55"/>
  <c r="Y60" s="1"/>
  <c r="W62"/>
  <c r="AC53"/>
  <c r="E88" i="6"/>
  <c r="F64" i="1" s="1"/>
  <c r="E67" i="6" s="1"/>
  <c r="F88"/>
  <c r="G64" i="1" s="1"/>
  <c r="F67" i="6" s="1"/>
  <c r="X62" i="1" l="1"/>
  <c r="Y62"/>
  <c r="Z61"/>
  <c r="AA54"/>
  <c r="AA59" s="1"/>
  <c r="Z55"/>
  <c r="Z60" s="1"/>
  <c r="F65"/>
  <c r="F67" s="1"/>
  <c r="G65"/>
  <c r="G88" i="6"/>
  <c r="H64" i="1" s="1"/>
  <c r="G67" i="6" s="1"/>
  <c r="E65" i="1"/>
  <c r="AB54" l="1"/>
  <c r="AB59" s="1"/>
  <c r="AA61"/>
  <c r="AA55"/>
  <c r="AA60" s="1"/>
  <c r="Z62"/>
  <c r="F68"/>
  <c r="E92" i="6"/>
  <c r="E94" s="1"/>
  <c r="E95" s="1"/>
  <c r="G67" i="1"/>
  <c r="G68"/>
  <c r="E68"/>
  <c r="E67"/>
  <c r="F92" i="6"/>
  <c r="F103" s="1"/>
  <c r="F104" s="1"/>
  <c r="D92"/>
  <c r="D106" s="1"/>
  <c r="H65" i="1"/>
  <c r="H88" i="6"/>
  <c r="I64" i="1" s="1"/>
  <c r="H67" i="6" s="1"/>
  <c r="AB55" i="1" l="1"/>
  <c r="AB60" s="1"/>
  <c r="AC54"/>
  <c r="AC59" s="1"/>
  <c r="AB61"/>
  <c r="AA62"/>
  <c r="E106" i="6"/>
  <c r="E107" s="1"/>
  <c r="E97"/>
  <c r="E98" s="1"/>
  <c r="E100"/>
  <c r="E101" s="1"/>
  <c r="E103"/>
  <c r="E104" s="1"/>
  <c r="H67" i="1"/>
  <c r="H68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65" i="1"/>
  <c r="I88" i="6"/>
  <c r="J64" i="1" s="1"/>
  <c r="I67" i="6" s="1"/>
  <c r="AC55" i="1" l="1"/>
  <c r="AC60" s="1"/>
  <c r="AB62"/>
  <c r="AC61"/>
  <c r="E110" i="6"/>
  <c r="F66" i="1" s="1"/>
  <c r="F75" s="1"/>
  <c r="I68"/>
  <c r="I67"/>
  <c r="F110" i="6"/>
  <c r="G66" i="1" s="1"/>
  <c r="G106" i="6"/>
  <c r="G100"/>
  <c r="G101" s="1"/>
  <c r="G94"/>
  <c r="G95" s="1"/>
  <c r="G103"/>
  <c r="G104" s="1"/>
  <c r="G97"/>
  <c r="G98" s="1"/>
  <c r="H92"/>
  <c r="J65" i="1"/>
  <c r="J88" i="6"/>
  <c r="K64" i="1" s="1"/>
  <c r="J67" i="6" s="1"/>
  <c r="D107"/>
  <c r="D110" s="1"/>
  <c r="E66" i="1" s="1"/>
  <c r="E75" s="1"/>
  <c r="AC62" l="1"/>
  <c r="J67"/>
  <c r="J68"/>
  <c r="G75"/>
  <c r="E78"/>
  <c r="G107" i="6"/>
  <c r="G110" s="1"/>
  <c r="H66" i="1" s="1"/>
  <c r="K65"/>
  <c r="K88" i="6"/>
  <c r="L64" i="1" s="1"/>
  <c r="K67" i="6" s="1"/>
  <c r="H106"/>
  <c r="H94"/>
  <c r="H95" s="1"/>
  <c r="H100"/>
  <c r="H101" s="1"/>
  <c r="H97"/>
  <c r="H98" s="1"/>
  <c r="H103"/>
  <c r="H104" s="1"/>
  <c r="I92"/>
  <c r="K68" i="1" l="1"/>
  <c r="K67"/>
  <c r="H75"/>
  <c r="C114" i="6"/>
  <c r="F78" i="1"/>
  <c r="D114" i="6" s="1"/>
  <c r="H107"/>
  <c r="H110" s="1"/>
  <c r="I66" i="1" s="1"/>
  <c r="J92" i="6"/>
  <c r="I94"/>
  <c r="I95" s="1"/>
  <c r="I97"/>
  <c r="I98" s="1"/>
  <c r="I100"/>
  <c r="I101" s="1"/>
  <c r="I106"/>
  <c r="I107" s="1"/>
  <c r="I103"/>
  <c r="I104" s="1"/>
  <c r="L65" i="1"/>
  <c r="L88" i="6"/>
  <c r="M64" i="1" s="1"/>
  <c r="L67" i="6" s="1"/>
  <c r="L67" i="1" l="1"/>
  <c r="L68"/>
  <c r="I75"/>
  <c r="G78"/>
  <c r="I110" i="6"/>
  <c r="J66" i="1" s="1"/>
  <c r="M65"/>
  <c r="M88" i="6"/>
  <c r="N64" i="1" s="1"/>
  <c r="M67" i="6" s="1"/>
  <c r="J94"/>
  <c r="J95" s="1"/>
  <c r="J97"/>
  <c r="J98" s="1"/>
  <c r="J106"/>
  <c r="J103"/>
  <c r="J104" s="1"/>
  <c r="J100"/>
  <c r="J101" s="1"/>
  <c r="K92"/>
  <c r="E114" l="1"/>
  <c r="M68" i="1"/>
  <c r="M67"/>
  <c r="H78"/>
  <c r="J75"/>
  <c r="L92" i="6"/>
  <c r="N65" i="1"/>
  <c r="N88" i="6"/>
  <c r="O64" i="1" s="1"/>
  <c r="N67" i="6" s="1"/>
  <c r="K106"/>
  <c r="K94"/>
  <c r="K95" s="1"/>
  <c r="K100"/>
  <c r="K101" s="1"/>
  <c r="K97"/>
  <c r="K98" s="1"/>
  <c r="K103"/>
  <c r="K104" s="1"/>
  <c r="J107"/>
  <c r="J110" s="1"/>
  <c r="K66" i="1" s="1"/>
  <c r="F114" i="6" l="1"/>
  <c r="N67" i="1"/>
  <c r="N68"/>
  <c r="I78"/>
  <c r="K75"/>
  <c r="K107" i="6"/>
  <c r="K110" s="1"/>
  <c r="L66" i="1" s="1"/>
  <c r="L106" i="6"/>
  <c r="L103"/>
  <c r="L104" s="1"/>
  <c r="L94"/>
  <c r="L95" s="1"/>
  <c r="L100"/>
  <c r="L101" s="1"/>
  <c r="L97"/>
  <c r="L98" s="1"/>
  <c r="M92"/>
  <c r="O65" i="1"/>
  <c r="O88" i="6"/>
  <c r="P64" i="1" s="1"/>
  <c r="O67" i="6" s="1"/>
  <c r="G114" l="1"/>
  <c r="O67" i="1"/>
  <c r="O68"/>
  <c r="J78"/>
  <c r="L75"/>
  <c r="L107" i="6"/>
  <c r="L110" s="1"/>
  <c r="M66" i="1" s="1"/>
  <c r="N92" i="6"/>
  <c r="P65" i="1"/>
  <c r="P88" i="6"/>
  <c r="Q64" i="1" s="1"/>
  <c r="P67" i="6" s="1"/>
  <c r="M100"/>
  <c r="M101" s="1"/>
  <c r="M103"/>
  <c r="M104" s="1"/>
  <c r="M94"/>
  <c r="M95" s="1"/>
  <c r="M106"/>
  <c r="M97"/>
  <c r="M98" s="1"/>
  <c r="H114" l="1"/>
  <c r="P67" i="1"/>
  <c r="P68"/>
  <c r="K78"/>
  <c r="M75"/>
  <c r="M107" i="6"/>
  <c r="M110" s="1"/>
  <c r="N66" i="1" s="1"/>
  <c r="Q65"/>
  <c r="Q88" i="6"/>
  <c r="R64" i="1" s="1"/>
  <c r="Q67" i="6" s="1"/>
  <c r="N106"/>
  <c r="N100"/>
  <c r="N101" s="1"/>
  <c r="N97"/>
  <c r="N98" s="1"/>
  <c r="N103"/>
  <c r="N104" s="1"/>
  <c r="N94"/>
  <c r="N95" s="1"/>
  <c r="O92"/>
  <c r="I114" l="1"/>
  <c r="Q68" i="1"/>
  <c r="Q67"/>
  <c r="L78"/>
  <c r="M78" s="1"/>
  <c r="N75"/>
  <c r="N107" i="6"/>
  <c r="N110" s="1"/>
  <c r="O66" i="1" s="1"/>
  <c r="O103" i="6"/>
  <c r="O104" s="1"/>
  <c r="O106"/>
  <c r="O107" s="1"/>
  <c r="O94"/>
  <c r="O95" s="1"/>
  <c r="O100"/>
  <c r="O101" s="1"/>
  <c r="O97"/>
  <c r="O98" s="1"/>
  <c r="P92"/>
  <c r="R65" i="1"/>
  <c r="R88" i="6"/>
  <c r="S64" i="1" s="1"/>
  <c r="R67" i="6" s="1"/>
  <c r="R68" i="1" l="1"/>
  <c r="R67"/>
  <c r="J114" i="6"/>
  <c r="O75" i="1"/>
  <c r="N78"/>
  <c r="K114" i="6"/>
  <c r="Q92"/>
  <c r="S65" i="1"/>
  <c r="S88" i="6"/>
  <c r="T64" i="1" s="1"/>
  <c r="S67" i="6" s="1"/>
  <c r="P106"/>
  <c r="P107" s="1"/>
  <c r="P97"/>
  <c r="P98" s="1"/>
  <c r="P94"/>
  <c r="P95" s="1"/>
  <c r="P100"/>
  <c r="P101" s="1"/>
  <c r="P103"/>
  <c r="P104" s="1"/>
  <c r="O110"/>
  <c r="P66" i="1" s="1"/>
  <c r="S67" l="1"/>
  <c r="S68"/>
  <c r="P75"/>
  <c r="O78"/>
  <c r="L114" i="6"/>
  <c r="P110"/>
  <c r="Q66" i="1" s="1"/>
  <c r="Q106" i="6"/>
  <c r="Q107" s="1"/>
  <c r="Q100"/>
  <c r="Q101" s="1"/>
  <c r="Q94"/>
  <c r="Q95" s="1"/>
  <c r="Q97"/>
  <c r="Q98" s="1"/>
  <c r="Q103"/>
  <c r="Q104" s="1"/>
  <c r="R92"/>
  <c r="T88"/>
  <c r="U64" i="1" s="1"/>
  <c r="T67" i="6" s="1"/>
  <c r="T65" i="1"/>
  <c r="T68" l="1"/>
  <c r="T67"/>
  <c r="Q75"/>
  <c r="P78"/>
  <c r="M114" i="6"/>
  <c r="S92"/>
  <c r="R106"/>
  <c r="R107" s="1"/>
  <c r="R103"/>
  <c r="R104" s="1"/>
  <c r="R94"/>
  <c r="R95" s="1"/>
  <c r="R97"/>
  <c r="R98" s="1"/>
  <c r="R100"/>
  <c r="R101" s="1"/>
  <c r="U65" i="1"/>
  <c r="U88" i="6"/>
  <c r="V64" i="1" s="1"/>
  <c r="U67" i="6" s="1"/>
  <c r="Q110"/>
  <c r="R66" i="1" s="1"/>
  <c r="U67" l="1"/>
  <c r="U68"/>
  <c r="R75"/>
  <c r="Q78"/>
  <c r="N114" i="6"/>
  <c r="S106"/>
  <c r="S107" s="1"/>
  <c r="S97"/>
  <c r="S98" s="1"/>
  <c r="S94"/>
  <c r="S95" s="1"/>
  <c r="S103"/>
  <c r="S104" s="1"/>
  <c r="S100"/>
  <c r="S101" s="1"/>
  <c r="V65" i="1"/>
  <c r="V88" i="6"/>
  <c r="W64" i="1" s="1"/>
  <c r="V67" i="6" s="1"/>
  <c r="T92"/>
  <c r="R110"/>
  <c r="S66" i="1" s="1"/>
  <c r="V67" l="1"/>
  <c r="V68"/>
  <c r="S75"/>
  <c r="R78"/>
  <c r="O114" i="6"/>
  <c r="S110"/>
  <c r="T66" i="1" s="1"/>
  <c r="U92" i="6"/>
  <c r="W65" i="1"/>
  <c r="W88" i="6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Y64" i="1" l="1"/>
  <c r="X67" i="6" s="1"/>
  <c r="W67" i="1"/>
  <c r="W68"/>
  <c r="X64"/>
  <c r="W67" i="6" s="1"/>
  <c r="T75" i="1"/>
  <c r="S78"/>
  <c r="P114" i="6"/>
  <c r="U106"/>
  <c r="U107" s="1"/>
  <c r="U97"/>
  <c r="U98" s="1"/>
  <c r="U94"/>
  <c r="U95" s="1"/>
  <c r="U103"/>
  <c r="U104" s="1"/>
  <c r="U100"/>
  <c r="U101" s="1"/>
  <c r="V92"/>
  <c r="T110"/>
  <c r="U66" i="1" s="1"/>
  <c r="Y65" l="1"/>
  <c r="Y67" s="1"/>
  <c r="X65"/>
  <c r="X67" s="1"/>
  <c r="Z64"/>
  <c r="Y67" i="6" s="1"/>
  <c r="U75" i="1"/>
  <c r="T78"/>
  <c r="Q114" i="6"/>
  <c r="V106"/>
  <c r="V107" s="1"/>
  <c r="V100"/>
  <c r="V101" s="1"/>
  <c r="V97"/>
  <c r="V98" s="1"/>
  <c r="V94"/>
  <c r="V95" s="1"/>
  <c r="V103"/>
  <c r="V104" s="1"/>
  <c r="U110"/>
  <c r="V66" i="1" s="1"/>
  <c r="W92" i="6" l="1"/>
  <c r="W97" s="1"/>
  <c r="W98" s="1"/>
  <c r="X68" i="1"/>
  <c r="Y68"/>
  <c r="X92" i="6"/>
  <c r="X97" s="1"/>
  <c r="X98" s="1"/>
  <c r="Z65" i="1"/>
  <c r="Z67" s="1"/>
  <c r="AA64"/>
  <c r="Z67" i="6" s="1"/>
  <c r="V75" i="1"/>
  <c r="U78"/>
  <c r="R114" i="6"/>
  <c r="V110"/>
  <c r="W66" i="1" s="1"/>
  <c r="X94" i="6" l="1"/>
  <c r="X95" s="1"/>
  <c r="W106"/>
  <c r="W107" s="1"/>
  <c r="X100"/>
  <c r="X101" s="1"/>
  <c r="W103"/>
  <c r="W104" s="1"/>
  <c r="X103"/>
  <c r="X104" s="1"/>
  <c r="Y92"/>
  <c r="Y106" s="1"/>
  <c r="Y107" s="1"/>
  <c r="Z68" i="1"/>
  <c r="AA65"/>
  <c r="W100" i="6"/>
  <c r="W101" s="1"/>
  <c r="X106"/>
  <c r="X107" s="1"/>
  <c r="W94"/>
  <c r="W95" s="1"/>
  <c r="AB64" i="1"/>
  <c r="AA67" i="6" s="1"/>
  <c r="AC64" i="1"/>
  <c r="AB67" i="6" s="1"/>
  <c r="W75" i="1"/>
  <c r="V78"/>
  <c r="S114" i="6"/>
  <c r="AA68" i="1" l="1"/>
  <c r="AA67"/>
  <c r="X110" i="6"/>
  <c r="Y66" i="1" s="1"/>
  <c r="Y75" s="1"/>
  <c r="Y103" i="6"/>
  <c r="Y104" s="1"/>
  <c r="Y94"/>
  <c r="Y95" s="1"/>
  <c r="W110"/>
  <c r="X66" i="1" s="1"/>
  <c r="X75" s="1"/>
  <c r="Y97" i="6"/>
  <c r="Y98" s="1"/>
  <c r="Y100"/>
  <c r="Y101" s="1"/>
  <c r="AB65" i="1"/>
  <c r="AB67" s="1"/>
  <c r="Z92" i="6"/>
  <c r="Z103" s="1"/>
  <c r="Z104" s="1"/>
  <c r="AC65" i="1"/>
  <c r="AC67" s="1"/>
  <c r="W78"/>
  <c r="T114" i="6"/>
  <c r="Z106" l="1"/>
  <c r="Z107" s="1"/>
  <c r="Z97"/>
  <c r="Z98" s="1"/>
  <c r="Y110"/>
  <c r="Z66" i="1" s="1"/>
  <c r="Z75" s="1"/>
  <c r="Z94" i="6"/>
  <c r="Z95" s="1"/>
  <c r="Z100"/>
  <c r="Z101" s="1"/>
  <c r="AA92"/>
  <c r="AA106" s="1"/>
  <c r="AA107" s="1"/>
  <c r="AB68" i="1"/>
  <c r="AC68"/>
  <c r="AB92" i="6"/>
  <c r="AB103" s="1"/>
  <c r="AB104" s="1"/>
  <c r="X78" i="1"/>
  <c r="U114" i="6"/>
  <c r="Z110" l="1"/>
  <c r="AA66" i="1" s="1"/>
  <c r="AA75" s="1"/>
  <c r="AA103" i="6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Y78" i="1"/>
  <c r="Z78" s="1"/>
  <c r="I39"/>
  <c r="V114" i="6"/>
  <c r="AA78" i="1" l="1"/>
  <c r="AB110" i="6"/>
  <c r="AC66" i="1" s="1"/>
  <c r="AC75" s="1"/>
  <c r="AA110" i="6"/>
  <c r="AB66" i="1" s="1"/>
  <c r="AB75" s="1"/>
  <c r="AB78" l="1"/>
  <c r="AC78" s="1"/>
  <c r="I40" s="1"/>
</calcChain>
</file>

<file path=xl/sharedStrings.xml><?xml version="1.0" encoding="utf-8"?>
<sst xmlns="http://schemas.openxmlformats.org/spreadsheetml/2006/main" count="383" uniqueCount="171">
  <si>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</si>
  <si>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</si>
  <si>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</si>
  <si>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</si>
  <si>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</si>
  <si>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</si>
  <si>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</si>
  <si>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</si>
  <si>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</si>
  <si>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</si>
  <si>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</si>
  <si>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</si>
  <si>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</si>
  <si>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</si>
  <si>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</si>
  <si>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</si>
  <si>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</si>
  <si>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</si>
  <si>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</si>
  <si>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</si>
  <si>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</si>
  <si>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</si>
  <si>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</si>
  <si>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</si>
  <si>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</si>
  <si>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</si>
  <si>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</si>
  <si>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</si>
  <si>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</si>
  <si>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</si>
  <si>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</si>
  <si>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</si>
  <si>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</si>
  <si>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</si>
  <si>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</si>
  <si>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</si>
  <si>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</si>
  <si>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</si>
  <si>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</si>
  <si>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</si>
  <si>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</si>
  <si>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</si>
  <si>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</si>
  <si>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</si>
  <si>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</si>
  <si>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</si>
  <si>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</si>
  <si>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</si>
  <si>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</si>
  <si>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</si>
  <si>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</si>
  <si>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</si>
  <si>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</si>
  <si>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</si>
  <si>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</si>
  <si>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</si>
  <si>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</si>
  <si>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</si>
  <si>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</si>
  <si>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</si>
  <si>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</si>
  <si>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</si>
  <si>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</si>
  <si>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</si>
  <si>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</si>
  <si>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</si>
  <si>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</si>
  <si>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</si>
  <si>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</si>
  <si>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</si>
  <si>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</si>
  <si>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</si>
  <si>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</si>
  <si>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</si>
  <si>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</si>
  <si>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</si>
  <si>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</si>
  <si>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</si>
  <si>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</si>
  <si>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</si>
  <si>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</si>
  <si>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</si>
  <si>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</si>
  <si>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</si>
  <si>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</si>
  <si>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</si>
  <si>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</si>
  <si>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</si>
  <si>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</si>
  <si>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</si>
  <si>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</si>
  <si>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</si>
  <si>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</si>
  <si>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</si>
  <si>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</si>
  <si>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</si>
  <si>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</si>
  <si>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</si>
  <si>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</si>
  <si>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</si>
  <si>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</si>
  <si>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</si>
  <si>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</si>
  <si>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</si>
  <si>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</si>
  <si>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</si>
  <si>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</si>
  <si>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</si>
  <si>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</si>
  <si>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</si>
  <si>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</si>
  <si>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</si>
  <si>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</si>
  <si>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</si>
  <si>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</si>
  <si>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</si>
  <si>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</si>
  <si>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</si>
  <si>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</si>
  <si>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</si>
  <si>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</si>
  <si>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</si>
  <si>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</si>
  <si>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</si>
  <si>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</si>
  <si>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</si>
  <si>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</si>
  <si>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</si>
  <si>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</si>
  <si>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</si>
  <si>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</si>
  <si>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</si>
  <si>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</si>
  <si>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</si>
  <si>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</si>
  <si>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</si>
  <si>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</si>
  <si>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</si>
  <si>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</si>
  <si>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</si>
  <si>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</si>
  <si>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</si>
  <si>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</si>
  <si>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</si>
  <si>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</si>
  <si>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</si>
  <si>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</si>
  <si>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</si>
  <si>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</si>
  <si>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</si>
  <si>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</si>
  <si>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</si>
  <si>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</si>
  <si>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</si>
  <si>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</si>
  <si>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</si>
  <si>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</si>
  <si>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</si>
  <si>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</si>
  <si>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CONSUMI</t>
  </si>
  <si>
    <t>Ricavi Vendita Energia (€/kWh)</t>
  </si>
  <si>
    <t>Per calcolo vendita dal 21° anno</t>
  </si>
  <si>
    <t>Impianto NON in conto energia</t>
  </si>
  <si>
    <t>Scambio 1-20 anni</t>
  </si>
  <si>
    <t>Vendita 1-20 anni</t>
  </si>
  <si>
    <t>IMPOSTE</t>
  </si>
  <si>
    <t>Azienda Agricola IRE+IRAP (se senza ammortamento)</t>
  </si>
  <si>
    <t>Contributo Scambio Sul Posto</t>
  </si>
  <si>
    <t>Vendita Energia</t>
  </si>
  <si>
    <t>Smaltiento Amianto, opere edili, autorizzazioni, etc</t>
  </si>
  <si>
    <t>PV-Xcel 4.7 -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</si>
</sst>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0" fillId="0" borderId="0" xfId="0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2">
    <cellStyle name="Collegamento ipertestuale" xfId="1" builtinId="8"/>
    <cellStyle name="Normale" xfId="0" builtinId="0"/>
  </cellStyles>
  <dxfs count="55"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4.7'!$E$78:$AC$78</c:f>
              <c:numCache>
                <c:formatCode>"€"\ #,##0</c:formatCode>
                <c:ptCount val="25"/>
                <c:pt idx="0">
                  <c:v>-3920</c:v>
                </c:pt>
                <c:pt idx="1">
                  <c:v>-2314.1711999999998</c:v>
                </c:pt>
                <c:pt idx="2">
                  <c:v>-671.22582399999965</c:v>
                </c:pt>
                <c:pt idx="3">
                  <c:v>1009.5784595200005</c:v>
                </c:pt>
                <c:pt idx="4">
                  <c:v>2728.9988287104002</c:v>
                </c:pt>
                <c:pt idx="5">
                  <c:v>4487.8076052846081</c:v>
                </c:pt>
                <c:pt idx="6">
                  <c:v>6286.7925573903003</c:v>
                </c:pt>
                <c:pt idx="7">
                  <c:v>8126.7572085381071</c:v>
                </c:pt>
                <c:pt idx="8">
                  <c:v>10008.521152708869</c:v>
                </c:pt>
                <c:pt idx="9">
                  <c:v>11932.920375763046</c:v>
                </c:pt>
                <c:pt idx="10">
                  <c:v>13900.807583278307</c:v>
                </c:pt>
                <c:pt idx="11">
                  <c:v>15913.052534943874</c:v>
                </c:pt>
                <c:pt idx="12">
                  <c:v>17970.542385642751</c:v>
                </c:pt>
                <c:pt idx="13">
                  <c:v>20074.182033355606</c:v>
                </c:pt>
                <c:pt idx="14">
                  <c:v>22224.894474022716</c:v>
                </c:pt>
                <c:pt idx="15">
                  <c:v>24423.621163503169</c:v>
                </c:pt>
                <c:pt idx="16">
                  <c:v>26671.32238677323</c:v>
                </c:pt>
                <c:pt idx="17">
                  <c:v>28968.977634508694</c:v>
                </c:pt>
                <c:pt idx="18">
                  <c:v>31317.585987198869</c:v>
                </c:pt>
                <c:pt idx="19">
                  <c:v>33718.166506942849</c:v>
                </c:pt>
                <c:pt idx="20">
                  <c:v>36119.313434870703</c:v>
                </c:pt>
                <c:pt idx="21">
                  <c:v>38573.483301357119</c:v>
                </c:pt>
                <c:pt idx="22">
                  <c:v>41081.736565173262</c:v>
                </c:pt>
                <c:pt idx="23">
                  <c:v>43645.154894265725</c:v>
                </c:pt>
                <c:pt idx="24">
                  <c:v>46264.841589940035</c:v>
                </c:pt>
              </c:numCache>
            </c:numRef>
          </c:val>
        </c:ser>
        <c:axId val="60720640"/>
        <c:axId val="60722176"/>
      </c:barChart>
      <c:catAx>
        <c:axId val="60720640"/>
        <c:scaling>
          <c:orientation val="minMax"/>
        </c:scaling>
        <c:axPos val="b"/>
        <c:tickLblPos val="low"/>
        <c:crossAx val="60722176"/>
        <c:crosses val="autoZero"/>
        <c:auto val="1"/>
        <c:lblAlgn val="ctr"/>
        <c:lblOffset val="100"/>
      </c:catAx>
      <c:valAx>
        <c:axId val="60722176"/>
        <c:scaling>
          <c:orientation val="minMax"/>
        </c:scaling>
        <c:axPos val="l"/>
        <c:majorGridlines/>
        <c:numFmt formatCode="&quot;€&quot;\ #,##0" sourceLinked="1"/>
        <c:tickLblPos val="nextTo"/>
        <c:crossAx val="60720640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46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4"/>
  <sheetViews>
    <sheetView tabSelected="1" zoomScale="93" zoomScaleNormal="93" workbookViewId="0">
      <selection sqref="A1:G1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17" s="1" customFormat="1" ht="19.5" thickBot="1">
      <c r="A1" s="175" t="s">
        <v>170</v>
      </c>
      <c r="B1" s="176"/>
      <c r="C1" s="176"/>
      <c r="D1" s="176"/>
      <c r="E1" s="176"/>
      <c r="F1" s="176"/>
      <c r="G1" s="177"/>
    </row>
    <row r="2" spans="1:17" ht="13.5" customHeight="1" thickBot="1"/>
    <row r="3" spans="1:17" ht="16.5" thickBot="1">
      <c r="A3" s="8" t="s">
        <v>138</v>
      </c>
      <c r="B3" s="9"/>
      <c r="C3" s="125">
        <v>3</v>
      </c>
      <c r="D3" s="10" t="s">
        <v>12</v>
      </c>
      <c r="H3" s="172"/>
      <c r="I3" s="173" t="s">
        <v>65</v>
      </c>
      <c r="J3" s="173"/>
      <c r="K3" s="174"/>
      <c r="L3" s="173" t="s">
        <v>66</v>
      </c>
      <c r="M3" s="140"/>
      <c r="N3" s="171"/>
      <c r="O3" s="21"/>
      <c r="P3" s="21"/>
      <c r="Q3" s="21"/>
    </row>
    <row r="4" spans="1:17" ht="16.5" thickBot="1">
      <c r="A4" s="8" t="s">
        <v>137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17" ht="9.75" customHeight="1" thickBot="1">
      <c r="A5" s="11"/>
      <c r="B5" s="11"/>
      <c r="C5" s="12"/>
      <c r="D5" s="11"/>
      <c r="J5" s="97"/>
      <c r="K5" s="97"/>
      <c r="L5" s="97"/>
    </row>
    <row r="6" spans="1:17" ht="15.75" customHeight="1">
      <c r="A6" s="13"/>
      <c r="B6" s="14"/>
      <c r="C6" s="14"/>
      <c r="D6" s="14"/>
      <c r="E6" s="15"/>
      <c r="F6" s="16"/>
      <c r="H6" s="98"/>
      <c r="I6" s="99"/>
      <c r="J6" s="100"/>
      <c r="K6" s="100"/>
      <c r="L6" s="101"/>
      <c r="M6" s="15"/>
      <c r="N6" s="15"/>
      <c r="O6" s="16"/>
    </row>
    <row r="7" spans="1:17" ht="15.75">
      <c r="A7" s="181" t="s">
        <v>14</v>
      </c>
      <c r="B7" s="182"/>
      <c r="C7" s="182"/>
      <c r="D7" s="11"/>
      <c r="E7" s="2"/>
      <c r="F7" s="7"/>
      <c r="H7" s="22" t="s">
        <v>93</v>
      </c>
      <c r="I7" s="2"/>
      <c r="J7" s="2"/>
      <c r="K7" s="2"/>
      <c r="L7" s="2"/>
      <c r="M7" s="2"/>
      <c r="N7" s="2"/>
      <c r="O7" s="7"/>
    </row>
    <row r="8" spans="1:17" ht="15.75">
      <c r="A8" s="128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</row>
    <row r="9" spans="1:17" ht="15.75">
      <c r="A9" s="181" t="s">
        <v>13</v>
      </c>
      <c r="B9" s="182"/>
      <c r="C9" s="182"/>
      <c r="D9" s="11"/>
      <c r="E9" s="2"/>
      <c r="F9" s="7"/>
      <c r="H9" s="22" t="s">
        <v>87</v>
      </c>
      <c r="I9" s="2"/>
      <c r="J9" s="2"/>
      <c r="K9" s="132">
        <v>9</v>
      </c>
      <c r="L9" s="2" t="s">
        <v>62</v>
      </c>
      <c r="M9" s="2"/>
      <c r="N9" s="12"/>
      <c r="O9" s="7"/>
    </row>
    <row r="10" spans="1:17" ht="15.75">
      <c r="A10" s="128"/>
      <c r="B10" s="11"/>
      <c r="C10" s="11"/>
      <c r="D10" s="11"/>
      <c r="E10" s="2"/>
      <c r="F10" s="7"/>
      <c r="H10" s="22"/>
      <c r="I10" s="2"/>
      <c r="J10" s="2"/>
      <c r="K10" s="105"/>
      <c r="L10" s="2"/>
      <c r="M10" s="2"/>
      <c r="N10" s="2"/>
      <c r="O10" s="7"/>
    </row>
    <row r="11" spans="1:17" ht="15.75">
      <c r="A11" s="128" t="s">
        <v>123</v>
      </c>
      <c r="B11" s="11"/>
      <c r="C11" s="11"/>
      <c r="D11" s="11"/>
      <c r="E11" s="2"/>
      <c r="F11" s="7"/>
      <c r="H11" s="22"/>
      <c r="I11" s="2"/>
      <c r="J11" s="2"/>
      <c r="K11" s="105"/>
      <c r="L11" s="2"/>
      <c r="M11" s="2"/>
      <c r="N11" s="2"/>
      <c r="O11" s="7"/>
    </row>
    <row r="12" spans="1:17" ht="15.75">
      <c r="A12" s="128"/>
      <c r="B12" s="11"/>
      <c r="C12" s="11"/>
      <c r="D12" s="11"/>
      <c r="E12" s="2"/>
      <c r="F12" s="7"/>
      <c r="H12" s="22"/>
      <c r="I12" s="2"/>
      <c r="J12" s="2"/>
      <c r="K12" s="105"/>
      <c r="L12" s="2"/>
      <c r="M12" s="2"/>
      <c r="N12" s="2"/>
      <c r="O12" s="7"/>
    </row>
    <row r="13" spans="1:17" ht="15.75">
      <c r="A13" s="181" t="s">
        <v>122</v>
      </c>
      <c r="B13" s="182"/>
      <c r="C13" s="182"/>
      <c r="D13" s="11"/>
      <c r="E13" s="2"/>
      <c r="F13" s="7"/>
      <c r="H13" s="22" t="s">
        <v>98</v>
      </c>
      <c r="I13" s="2"/>
      <c r="J13" s="2"/>
      <c r="K13" s="133"/>
      <c r="L13" s="116">
        <v>23</v>
      </c>
      <c r="M13" s="2" t="s">
        <v>62</v>
      </c>
      <c r="N13" s="2"/>
      <c r="O13" s="7"/>
    </row>
    <row r="14" spans="1:17" ht="15.75">
      <c r="A14" s="22"/>
      <c r="B14" s="2"/>
      <c r="C14" s="2"/>
      <c r="D14" s="2"/>
      <c r="E14" s="2"/>
      <c r="F14" s="7"/>
      <c r="H14" s="22" t="s">
        <v>99</v>
      </c>
      <c r="I14" s="2"/>
      <c r="J14" s="2"/>
      <c r="K14" s="133"/>
      <c r="L14" s="116">
        <v>27</v>
      </c>
      <c r="M14" s="2" t="s">
        <v>62</v>
      </c>
      <c r="N14" s="2"/>
      <c r="O14" s="7"/>
    </row>
    <row r="15" spans="1:17" ht="15.75">
      <c r="A15" s="181" t="s">
        <v>77</v>
      </c>
      <c r="B15" s="182"/>
      <c r="C15" s="182"/>
      <c r="D15" s="11"/>
      <c r="E15" s="2"/>
      <c r="F15" s="7"/>
      <c r="H15" s="22" t="s">
        <v>100</v>
      </c>
      <c r="I15" s="2"/>
      <c r="J15" s="2"/>
      <c r="K15" s="133"/>
      <c r="L15" s="116">
        <v>38</v>
      </c>
      <c r="M15" s="2" t="s">
        <v>62</v>
      </c>
      <c r="N15" s="2"/>
      <c r="O15" s="7"/>
    </row>
    <row r="16" spans="1:17" ht="15.75">
      <c r="A16" s="22"/>
      <c r="B16" s="2"/>
      <c r="C16" s="2"/>
      <c r="D16" s="2"/>
      <c r="E16" s="2"/>
      <c r="F16" s="7"/>
      <c r="H16" s="22" t="s">
        <v>101</v>
      </c>
      <c r="I16" s="2"/>
      <c r="J16" s="2"/>
      <c r="K16" s="133"/>
      <c r="L16" s="116">
        <v>41</v>
      </c>
      <c r="M16" s="2" t="s">
        <v>62</v>
      </c>
      <c r="N16" s="2"/>
      <c r="O16" s="7"/>
    </row>
    <row r="17" spans="1:19" ht="15.75">
      <c r="A17" s="24"/>
      <c r="B17" s="25"/>
      <c r="C17" s="25"/>
      <c r="D17" s="2"/>
      <c r="E17" s="2"/>
      <c r="F17" s="7"/>
      <c r="H17" s="22" t="s">
        <v>102</v>
      </c>
      <c r="I17" s="2"/>
      <c r="J17" s="2"/>
      <c r="K17" s="133"/>
      <c r="L17" s="116">
        <v>43</v>
      </c>
      <c r="M17" s="2" t="s">
        <v>62</v>
      </c>
      <c r="N17" s="2"/>
      <c r="O17" s="7"/>
    </row>
    <row r="18" spans="1:19" ht="15.75">
      <c r="A18" s="181" t="s">
        <v>18</v>
      </c>
      <c r="B18" s="182"/>
      <c r="C18" s="182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</row>
    <row r="19" spans="1:19" ht="15.75">
      <c r="A19" s="22"/>
      <c r="B19" s="2"/>
      <c r="C19" s="2"/>
      <c r="D19" s="2"/>
      <c r="E19" s="2"/>
      <c r="F19" s="7"/>
      <c r="H19" s="103" t="s">
        <v>94</v>
      </c>
      <c r="I19" s="2"/>
      <c r="J19" s="2"/>
      <c r="K19" s="116">
        <v>3.9</v>
      </c>
      <c r="L19" s="2" t="s">
        <v>62</v>
      </c>
      <c r="M19" s="2"/>
      <c r="N19" s="2"/>
      <c r="O19" s="7"/>
    </row>
    <row r="20" spans="1:19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</row>
    <row r="21" spans="1:19" ht="17.25" customHeight="1">
      <c r="A21" s="22"/>
      <c r="B21" s="2"/>
      <c r="C21" s="2"/>
      <c r="D21" s="2"/>
      <c r="E21" s="2"/>
      <c r="F21" s="7"/>
      <c r="H21" s="103" t="s">
        <v>116</v>
      </c>
      <c r="I21" s="2"/>
      <c r="J21" s="2"/>
      <c r="K21" s="116">
        <v>27.5</v>
      </c>
      <c r="L21" s="2" t="s">
        <v>62</v>
      </c>
      <c r="M21" s="2"/>
      <c r="N21" s="2"/>
      <c r="O21" s="7"/>
    </row>
    <row r="22" spans="1:19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19" ht="13.5" customHeight="1" thickBot="1"/>
    <row r="24" spans="1:19" ht="15.75" thickBot="1">
      <c r="D24" s="120" t="s">
        <v>22</v>
      </c>
      <c r="E24" s="122" t="s">
        <v>21</v>
      </c>
      <c r="F24" s="30" t="s">
        <v>23</v>
      </c>
      <c r="H24" s="183" t="s">
        <v>97</v>
      </c>
      <c r="I24" s="184"/>
      <c r="J24" s="184"/>
      <c r="K24" s="184"/>
      <c r="L24" s="184"/>
      <c r="M24" s="184"/>
      <c r="N24" s="184"/>
      <c r="O24" s="185"/>
    </row>
    <row r="25" spans="1:19">
      <c r="A25" s="31" t="s">
        <v>19</v>
      </c>
      <c r="B25" s="32"/>
      <c r="C25" s="33"/>
      <c r="D25" s="121">
        <f>IF(Calcoli!D1&lt;6,E25+F25,0)</f>
        <v>0</v>
      </c>
      <c r="E25" s="123">
        <f>Calcoli!H19+Calcoli!H29+Calcoli!H39+Calcoli!H51+Calcoli!H65+Calcoli!N19+Calcoli!N29+Calcoli!N39+Calcoli!N51+Calcoli!N65+Calcoli!H129+Calcoli!H139+Calcoli!H149+Calcoli!H161+Calcoli!H175+Calcoli!H187+Calcoli!H194+Calcoli!H202+Calcoli!H210+Calcoli!H218</f>
        <v>0</v>
      </c>
      <c r="F25" s="34">
        <f>IF(Calcoli!$H$9&lt;3,Calcoli!$R$27,0)</f>
        <v>20</v>
      </c>
      <c r="H25" s="186"/>
      <c r="I25" s="187"/>
      <c r="J25" s="187"/>
      <c r="K25" s="187"/>
      <c r="L25" s="187"/>
      <c r="M25" s="187"/>
      <c r="N25" s="187"/>
      <c r="O25" s="188"/>
    </row>
    <row r="26" spans="1:19" ht="15.75" thickBot="1">
      <c r="A26" s="38" t="s">
        <v>20</v>
      </c>
      <c r="B26" s="39"/>
      <c r="C26" s="40"/>
      <c r="D26" s="121">
        <f>IF(Calcoli!D1&lt;6,E26+F26,0)</f>
        <v>0</v>
      </c>
      <c r="E26" s="124">
        <f>Calcoli!I19+Calcoli!I29+Calcoli!I39+Calcoli!I51+Calcoli!I65+Calcoli!O19+Calcoli!O29+Calcoli!O39+Calcoli!O51+Calcoli!O65+Calcoli!I129+Calcoli!I139+Calcoli!I149+Calcoli!I161+Calcoli!I175+Calcoli!I187+Calcoli!I194+Calcoli!I202+Calcoli!I210+Calcoli!I218</f>
        <v>0</v>
      </c>
      <c r="F26" s="41">
        <f>IF(Calcoli!$H$9&lt;3,Calcoli!$R$27,0)</f>
        <v>20</v>
      </c>
    </row>
    <row r="27" spans="1:19" ht="12.75" customHeight="1">
      <c r="A27" s="43"/>
      <c r="B27" s="2"/>
      <c r="C27" s="2"/>
      <c r="D27" s="44"/>
      <c r="E27" s="130"/>
      <c r="F27" s="130"/>
      <c r="S27" s="102"/>
    </row>
    <row r="28" spans="1:19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2"/>
    </row>
    <row r="29" spans="1:19" s="46" customFormat="1" ht="22.5" customHeight="1">
      <c r="A29" s="74" t="s">
        <v>36</v>
      </c>
      <c r="B29" s="134"/>
      <c r="C29" s="108">
        <v>1200</v>
      </c>
      <c r="D29" s="45" t="s">
        <v>64</v>
      </c>
      <c r="E29" s="69"/>
      <c r="F29" s="96" t="s">
        <v>25</v>
      </c>
      <c r="G29" s="95"/>
      <c r="H29" s="69"/>
      <c r="I29" s="69"/>
      <c r="J29" s="54"/>
      <c r="K29" s="75"/>
    </row>
    <row r="30" spans="1:19" s="50" customFormat="1" ht="15.75">
      <c r="A30" s="76" t="s">
        <v>26</v>
      </c>
      <c r="B30" s="11"/>
      <c r="C30" s="109">
        <f>$C$3*C29</f>
        <v>3600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19" s="50" customFormat="1" ht="15.75">
      <c r="A31" s="76" t="s">
        <v>27</v>
      </c>
      <c r="B31" s="11"/>
      <c r="C31" s="108">
        <v>10000</v>
      </c>
      <c r="D31" s="85" t="s">
        <v>24</v>
      </c>
      <c r="E31" s="92" t="s">
        <v>79</v>
      </c>
      <c r="F31" s="92"/>
      <c r="G31" s="92"/>
      <c r="H31" s="92"/>
      <c r="I31" s="85"/>
      <c r="J31" s="11"/>
      <c r="K31" s="77"/>
    </row>
    <row r="32" spans="1:19" s="50" customFormat="1" ht="15.75">
      <c r="A32" s="76"/>
      <c r="B32" s="11"/>
      <c r="C32" s="137"/>
      <c r="D32" s="129"/>
      <c r="E32" s="129"/>
      <c r="F32" s="129"/>
      <c r="G32" s="129"/>
      <c r="H32" s="129"/>
      <c r="I32" s="129"/>
      <c r="J32" s="11"/>
      <c r="K32" s="77"/>
    </row>
    <row r="33" spans="1:11" s="46" customFormat="1" ht="22.5" customHeight="1">
      <c r="A33" s="74" t="s">
        <v>28</v>
      </c>
      <c r="B33" s="134"/>
      <c r="C33" s="110">
        <f>Calcoli!S55</f>
        <v>1800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9">
        <f>IF(Calcoli!Q49=1,C30-C33,C30)</f>
        <v>1800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9">
        <f>IF(Calcoli!Q49=1,C31-C33,0)</f>
        <v>8200</v>
      </c>
      <c r="D35" s="85" t="s">
        <v>24</v>
      </c>
      <c r="E35" s="11"/>
      <c r="F35" s="162" t="s">
        <v>115</v>
      </c>
      <c r="G35" s="163"/>
      <c r="H35" s="164"/>
      <c r="I35" s="193">
        <f>C3*C37</f>
        <v>5250</v>
      </c>
      <c r="J35" s="194"/>
      <c r="K35" s="77"/>
    </row>
    <row r="36" spans="1:11" s="50" customFormat="1" ht="16.5" thickBot="1">
      <c r="A36" s="78"/>
      <c r="B36" s="11"/>
      <c r="C36" s="105"/>
      <c r="D36" s="85"/>
      <c r="E36" s="11"/>
      <c r="F36" s="165" t="s">
        <v>142</v>
      </c>
      <c r="G36" s="70"/>
      <c r="H36" s="160"/>
      <c r="I36" s="189">
        <f>C42+C43</f>
        <v>220</v>
      </c>
      <c r="J36" s="190"/>
      <c r="K36" s="77"/>
    </row>
    <row r="37" spans="1:11" s="50" customFormat="1" ht="16.5" thickBot="1">
      <c r="A37" s="78" t="s">
        <v>31</v>
      </c>
      <c r="B37" s="11"/>
      <c r="C37" s="127">
        <v>1750</v>
      </c>
      <c r="D37" s="85" t="s">
        <v>32</v>
      </c>
      <c r="E37" s="161"/>
      <c r="F37" s="168"/>
      <c r="G37" s="166" t="s">
        <v>22</v>
      </c>
      <c r="H37" s="167"/>
      <c r="I37" s="191">
        <f>SUM(I35:J36)</f>
        <v>5470</v>
      </c>
      <c r="J37" s="192"/>
      <c r="K37" s="77"/>
    </row>
    <row r="38" spans="1:11" s="50" customFormat="1" ht="16.5" thickBot="1">
      <c r="A38" s="78" t="s">
        <v>33</v>
      </c>
      <c r="B38" s="11"/>
      <c r="C38" s="108">
        <v>150</v>
      </c>
      <c r="D38" s="85" t="s">
        <v>32</v>
      </c>
      <c r="E38" s="161"/>
      <c r="F38" s="114"/>
      <c r="G38" s="113"/>
      <c r="H38" s="180"/>
      <c r="I38" s="180"/>
      <c r="J38" s="113"/>
      <c r="K38" s="77"/>
    </row>
    <row r="39" spans="1:11" s="50" customFormat="1" ht="15.75">
      <c r="A39" s="78" t="s">
        <v>84</v>
      </c>
      <c r="B39" s="11"/>
      <c r="C39" s="111">
        <v>2</v>
      </c>
      <c r="D39" s="85" t="s">
        <v>62</v>
      </c>
      <c r="E39" s="114"/>
      <c r="F39" s="162" t="s">
        <v>157</v>
      </c>
      <c r="G39" s="169"/>
      <c r="H39" s="169"/>
      <c r="I39" s="193">
        <f>X78</f>
        <v>33718.166506942849</v>
      </c>
      <c r="J39" s="195"/>
      <c r="K39" s="77"/>
    </row>
    <row r="40" spans="1:11" s="50" customFormat="1" ht="16.5" thickBot="1">
      <c r="A40" s="78" t="s">
        <v>80</v>
      </c>
      <c r="B40" s="11"/>
      <c r="C40" s="109">
        <f>IF(C3&lt;20,C3*3,60+((C3-20)*2))</f>
        <v>9</v>
      </c>
      <c r="D40" s="85" t="s">
        <v>32</v>
      </c>
      <c r="E40" s="11"/>
      <c r="F40" s="170" t="s">
        <v>158</v>
      </c>
      <c r="G40" s="166"/>
      <c r="H40" s="166"/>
      <c r="I40" s="178">
        <f>AC78</f>
        <v>46264.841589940035</v>
      </c>
      <c r="J40" s="179"/>
      <c r="K40" s="77"/>
    </row>
    <row r="41" spans="1:11" s="50" customFormat="1" ht="15.75">
      <c r="A41" s="78" t="s">
        <v>81</v>
      </c>
      <c r="B41" s="11"/>
      <c r="C41" s="135">
        <f>0.0005*C30</f>
        <v>1.8</v>
      </c>
      <c r="D41" s="85" t="s">
        <v>32</v>
      </c>
      <c r="E41" s="114"/>
      <c r="F41" s="114"/>
      <c r="G41" s="114"/>
      <c r="H41" s="114"/>
      <c r="I41" s="114"/>
      <c r="J41" s="11"/>
      <c r="K41" s="77"/>
    </row>
    <row r="42" spans="1:11" s="50" customFormat="1" ht="15.75">
      <c r="A42" s="78" t="s">
        <v>140</v>
      </c>
      <c r="B42" s="11"/>
      <c r="C42" s="109">
        <f>IF(Calcoli!O77&lt;0,Calcoli!P77,(C3-C4)*55+Calcoli!P77)</f>
        <v>120</v>
      </c>
      <c r="D42" s="85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141</v>
      </c>
      <c r="B43" s="11"/>
      <c r="C43" s="108">
        <v>100</v>
      </c>
      <c r="D43" s="85" t="s">
        <v>32</v>
      </c>
      <c r="E43" s="55" t="s">
        <v>169</v>
      </c>
      <c r="F43" s="11"/>
      <c r="G43" s="11"/>
      <c r="H43" s="11"/>
      <c r="I43" s="11"/>
      <c r="J43" s="11"/>
      <c r="K43" s="77"/>
    </row>
    <row r="44" spans="1:11" s="50" customFormat="1" ht="15.75">
      <c r="A44" s="78" t="s">
        <v>37</v>
      </c>
      <c r="B44" s="11"/>
      <c r="C44" s="108">
        <v>100</v>
      </c>
      <c r="D44" s="85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8" t="s">
        <v>34</v>
      </c>
      <c r="B45" s="11"/>
      <c r="C45" s="112">
        <v>0.18</v>
      </c>
      <c r="D45" s="85" t="s">
        <v>32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160</v>
      </c>
      <c r="B46" s="11"/>
      <c r="C46" s="112">
        <v>0.12</v>
      </c>
      <c r="D46" s="85" t="s">
        <v>32</v>
      </c>
      <c r="E46" s="55" t="s">
        <v>161</v>
      </c>
      <c r="F46" s="11"/>
      <c r="G46" s="11"/>
      <c r="H46" s="11"/>
      <c r="I46" s="11"/>
      <c r="J46" s="11"/>
      <c r="K46" s="77"/>
    </row>
    <row r="47" spans="1:11" s="50" customFormat="1" ht="15.75">
      <c r="A47" s="78" t="s">
        <v>83</v>
      </c>
      <c r="B47" s="11"/>
      <c r="C47" s="111">
        <v>0.9</v>
      </c>
      <c r="D47" s="85" t="s">
        <v>62</v>
      </c>
      <c r="E47" s="55" t="s">
        <v>114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63</v>
      </c>
      <c r="B48" s="11"/>
      <c r="C48" s="111">
        <v>6</v>
      </c>
      <c r="D48" s="85" t="s">
        <v>62</v>
      </c>
      <c r="E48" s="55" t="s">
        <v>85</v>
      </c>
      <c r="F48" s="11"/>
      <c r="G48" s="11"/>
      <c r="H48" s="11"/>
      <c r="I48" s="11"/>
      <c r="J48" s="11"/>
      <c r="K48" s="77"/>
    </row>
    <row r="49" spans="1:29" s="50" customFormat="1" ht="9" customHeight="1">
      <c r="A49" s="79"/>
      <c r="B49" s="80"/>
      <c r="C49" s="136"/>
      <c r="D49" s="81"/>
      <c r="E49" s="93"/>
      <c r="F49" s="80"/>
      <c r="G49" s="80"/>
      <c r="H49" s="80"/>
      <c r="I49" s="80"/>
      <c r="J49" s="80"/>
      <c r="K49" s="82"/>
    </row>
    <row r="51" spans="1:29">
      <c r="A51" s="60"/>
      <c r="B51" s="60"/>
      <c r="C51" s="60"/>
      <c r="D51" s="60"/>
      <c r="E51" s="131" t="s">
        <v>40</v>
      </c>
      <c r="F51" s="131" t="s">
        <v>43</v>
      </c>
      <c r="G51" s="131" t="s">
        <v>44</v>
      </c>
      <c r="H51" s="131" t="s">
        <v>45</v>
      </c>
      <c r="I51" s="131" t="s">
        <v>46</v>
      </c>
      <c r="J51" s="131" t="s">
        <v>47</v>
      </c>
      <c r="K51" s="131" t="s">
        <v>48</v>
      </c>
      <c r="L51" s="131" t="s">
        <v>49</v>
      </c>
      <c r="M51" s="131" t="s">
        <v>50</v>
      </c>
      <c r="N51" s="131" t="s">
        <v>51</v>
      </c>
      <c r="O51" s="131" t="s">
        <v>52</v>
      </c>
      <c r="P51" s="131" t="s">
        <v>53</v>
      </c>
      <c r="Q51" s="131" t="s">
        <v>54</v>
      </c>
      <c r="R51" s="131" t="s">
        <v>55</v>
      </c>
      <c r="S51" s="131" t="s">
        <v>56</v>
      </c>
      <c r="T51" s="131" t="s">
        <v>57</v>
      </c>
      <c r="U51" s="131" t="s">
        <v>58</v>
      </c>
      <c r="V51" s="131" t="s">
        <v>59</v>
      </c>
      <c r="W51" s="131" t="s">
        <v>60</v>
      </c>
      <c r="X51" s="131" t="s">
        <v>61</v>
      </c>
      <c r="Y51" s="159" t="s">
        <v>152</v>
      </c>
      <c r="Z51" s="159" t="s">
        <v>153</v>
      </c>
      <c r="AA51" s="159" t="s">
        <v>154</v>
      </c>
      <c r="AB51" s="159" t="s">
        <v>155</v>
      </c>
      <c r="AC51" s="159" t="s">
        <v>156</v>
      </c>
    </row>
    <row r="52" spans="1:29">
      <c r="A52" s="60"/>
      <c r="B52" s="60"/>
      <c r="C52" s="60"/>
      <c r="D52" s="60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>
      <c r="A53" s="62" t="s">
        <v>103</v>
      </c>
      <c r="B53" s="60"/>
      <c r="C53" s="60"/>
      <c r="D53" s="60"/>
      <c r="E53" s="149">
        <f>C30</f>
        <v>3600</v>
      </c>
      <c r="F53" s="149">
        <f t="shared" ref="F53" si="0">E53/100*(100-$C$47)</f>
        <v>3567.6</v>
      </c>
      <c r="G53" s="149">
        <f t="shared" ref="G53" si="1">F53/100*(100-$C$47)</f>
        <v>3535.4915999999998</v>
      </c>
      <c r="H53" s="149">
        <f t="shared" ref="H53" si="2">G53/100*(100-$C$47)</f>
        <v>3503.6721755999993</v>
      </c>
      <c r="I53" s="149">
        <f t="shared" ref="I53" si="3">H53/100*(100-$C$47)</f>
        <v>3472.1391260195987</v>
      </c>
      <c r="J53" s="149">
        <f t="shared" ref="J53" si="4">I53/100*(100-$C$47)</f>
        <v>3440.8898738854218</v>
      </c>
      <c r="K53" s="149">
        <f t="shared" ref="K53" si="5">J53/100*(100-$C$47)</f>
        <v>3409.921865020453</v>
      </c>
      <c r="L53" s="149">
        <f t="shared" ref="L53" si="6">K53/100*(100-$C$47)</f>
        <v>3379.2325682352684</v>
      </c>
      <c r="M53" s="149">
        <f t="shared" ref="M53" si="7">L53/100*(100-$C$47)</f>
        <v>3348.8194751211508</v>
      </c>
      <c r="N53" s="149">
        <f t="shared" ref="N53" si="8">M53/100*(100-$C$47)</f>
        <v>3318.6800998450603</v>
      </c>
      <c r="O53" s="149">
        <f t="shared" ref="O53" si="9">N53/100*(100-$C$47)</f>
        <v>3288.8119789464545</v>
      </c>
      <c r="P53" s="149">
        <f t="shared" ref="P53" si="10">O53/100*(100-$C$47)</f>
        <v>3259.2126711359365</v>
      </c>
      <c r="Q53" s="149">
        <f t="shared" ref="Q53" si="11">P53/100*(100-$C$47)</f>
        <v>3229.8797570957126</v>
      </c>
      <c r="R53" s="149">
        <f t="shared" ref="R53" si="12">Q53/100*(100-$C$47)</f>
        <v>3200.8108392818513</v>
      </c>
      <c r="S53" s="149">
        <f t="shared" ref="S53" si="13">R53/100*(100-$C$47)</f>
        <v>3172.0035417283143</v>
      </c>
      <c r="T53" s="149">
        <f t="shared" ref="T53" si="14">S53/100*(100-$C$47)</f>
        <v>3143.4555098527594</v>
      </c>
      <c r="U53" s="149">
        <f t="shared" ref="U53" si="15">T53/100*(100-$C$47)</f>
        <v>3115.1644102640844</v>
      </c>
      <c r="V53" s="149">
        <f t="shared" ref="V53" si="16">U53/100*(100-$C$47)</f>
        <v>3087.1279305717076</v>
      </c>
      <c r="W53" s="149">
        <f t="shared" ref="W53" si="17">V53/100*(100-$C$47)</f>
        <v>3059.3437791965621</v>
      </c>
      <c r="X53" s="149">
        <f t="shared" ref="X53" si="18">W53/100*(100-$C$47)</f>
        <v>3031.8096851837927</v>
      </c>
      <c r="Y53" s="149">
        <f t="shared" ref="Y53" si="19">X53/100*(100-$C$47)</f>
        <v>3004.5233980171383</v>
      </c>
      <c r="Z53" s="149">
        <f t="shared" ref="Z53" si="20">Y53/100*(100-$C$47)</f>
        <v>2977.4826874349837</v>
      </c>
      <c r="AA53" s="149">
        <f t="shared" ref="AA53" si="21">Z53/100*(100-$C$47)</f>
        <v>2950.6853432480689</v>
      </c>
      <c r="AB53" s="149">
        <f t="shared" ref="AB53" si="22">AA53/100*(100-$C$47)</f>
        <v>2924.129175158836</v>
      </c>
      <c r="AC53" s="149">
        <f t="shared" ref="AC53" si="23">AB53/100*(100-$C$47)</f>
        <v>2897.8120125824062</v>
      </c>
    </row>
    <row r="54" spans="1:29" ht="15.75">
      <c r="A54" s="62" t="s">
        <v>28</v>
      </c>
      <c r="B54" s="60"/>
      <c r="C54" s="60"/>
      <c r="D54" s="60"/>
      <c r="E54" s="149">
        <f>$C$33</f>
        <v>1800</v>
      </c>
      <c r="F54" s="149">
        <f t="shared" ref="F54" si="24">E54+(E54/100*$C$39)</f>
        <v>1836</v>
      </c>
      <c r="G54" s="149">
        <f t="shared" ref="G54" si="25">F54+(F54/100*$C$39)</f>
        <v>1872.72</v>
      </c>
      <c r="H54" s="149">
        <f t="shared" ref="H54" si="26">G54+(G54/100*$C$39)</f>
        <v>1910.1744000000001</v>
      </c>
      <c r="I54" s="149">
        <f t="shared" ref="I54" si="27">H54+(H54/100*$C$39)</f>
        <v>1948.3778880000002</v>
      </c>
      <c r="J54" s="149">
        <f t="shared" ref="J54" si="28">I54+(I54/100*$C$39)</f>
        <v>1987.3454457600003</v>
      </c>
      <c r="K54" s="149">
        <f t="shared" ref="K54" si="29">J54+(J54/100*$C$39)</f>
        <v>2027.0923546752003</v>
      </c>
      <c r="L54" s="149">
        <f t="shared" ref="L54" si="30">K54+(K54/100*$C$39)</f>
        <v>2067.6342017687043</v>
      </c>
      <c r="M54" s="149">
        <f t="shared" ref="M54" si="31">L54+(L54/100*$C$39)</f>
        <v>2108.9868858040786</v>
      </c>
      <c r="N54" s="149">
        <f t="shared" ref="N54" si="32">M54+(M54/100*$C$39)</f>
        <v>2151.1666235201601</v>
      </c>
      <c r="O54" s="149">
        <f t="shared" ref="O54" si="33">N54+(N54/100*$C$39)</f>
        <v>2194.1899559905632</v>
      </c>
      <c r="P54" s="149">
        <f t="shared" ref="P54" si="34">O54+(O54/100*$C$39)</f>
        <v>2238.0737551103743</v>
      </c>
      <c r="Q54" s="149">
        <f t="shared" ref="Q54" si="35">P54+(P54/100*$C$39)</f>
        <v>2282.8352302125818</v>
      </c>
      <c r="R54" s="149">
        <f t="shared" ref="R54" si="36">Q54+(Q54/100*$C$39)</f>
        <v>2328.4919348168332</v>
      </c>
      <c r="S54" s="149">
        <f t="shared" ref="S54" si="37">R54+(R54/100*$C$39)</f>
        <v>2375.06177351317</v>
      </c>
      <c r="T54" s="149">
        <f t="shared" ref="T54" si="38">S54+(S54/100*$C$39)</f>
        <v>2422.5630089834335</v>
      </c>
      <c r="U54" s="149">
        <f t="shared" ref="U54" si="39">T54+(T54/100*$C$39)</f>
        <v>2471.0142691631022</v>
      </c>
      <c r="V54" s="149">
        <f t="shared" ref="V54" si="40">U54+(U54/100*$C$39)</f>
        <v>2520.4345545463643</v>
      </c>
      <c r="W54" s="149">
        <f t="shared" ref="W54" si="41">V54+(V54/100*$C$39)</f>
        <v>2570.8432456372916</v>
      </c>
      <c r="X54" s="149">
        <f t="shared" ref="X54" si="42">W54+(W54/100*$C$39)</f>
        <v>2622.2601105500376</v>
      </c>
      <c r="Y54" s="149">
        <f t="shared" ref="Y54" si="43">X54+(X54/100*$C$39)</f>
        <v>2674.7053127610384</v>
      </c>
      <c r="Z54" s="149">
        <f t="shared" ref="Z54" si="44">Y54+(Y54/100*$C$39)</f>
        <v>2728.1994190162591</v>
      </c>
      <c r="AA54" s="149">
        <f t="shared" ref="AA54" si="45">Z54+(Z54/100*$C$39)</f>
        <v>2782.7634073965842</v>
      </c>
      <c r="AB54" s="149">
        <f t="shared" ref="AB54" si="46">AA54+(AA54/100*$C$39)</f>
        <v>2838.4186755445157</v>
      </c>
      <c r="AC54" s="149">
        <f t="shared" ref="AC54" si="47">AB54+(AB54/100*$C$39)</f>
        <v>2895.1870490554061</v>
      </c>
    </row>
    <row r="55" spans="1:29" ht="15.75">
      <c r="A55" s="62" t="s">
        <v>38</v>
      </c>
      <c r="B55" s="60"/>
      <c r="C55" s="60"/>
      <c r="D55" s="60"/>
      <c r="E55" s="149">
        <f>IF((E53-E54)&lt;0,0,E53-E54)</f>
        <v>1800</v>
      </c>
      <c r="F55" s="149">
        <f t="shared" ref="F55:X55" si="48">IF((F53-F54)&lt;0,0,F53-F54)</f>
        <v>1731.6</v>
      </c>
      <c r="G55" s="149">
        <f t="shared" si="48"/>
        <v>1662.7715999999998</v>
      </c>
      <c r="H55" s="149">
        <f t="shared" si="48"/>
        <v>1593.4977755999992</v>
      </c>
      <c r="I55" s="149">
        <f t="shared" si="48"/>
        <v>1523.7612380195985</v>
      </c>
      <c r="J55" s="149">
        <f t="shared" si="48"/>
        <v>1453.5444281254215</v>
      </c>
      <c r="K55" s="149">
        <f t="shared" si="48"/>
        <v>1382.8295103452526</v>
      </c>
      <c r="L55" s="149">
        <f t="shared" si="48"/>
        <v>1311.5983664665641</v>
      </c>
      <c r="M55" s="149">
        <f t="shared" si="48"/>
        <v>1239.8325893170722</v>
      </c>
      <c r="N55" s="149">
        <f t="shared" si="48"/>
        <v>1167.5134763249002</v>
      </c>
      <c r="O55" s="149">
        <f t="shared" si="48"/>
        <v>1094.6220229558912</v>
      </c>
      <c r="P55" s="149">
        <f t="shared" si="48"/>
        <v>1021.1389160255621</v>
      </c>
      <c r="Q55" s="149">
        <f t="shared" si="48"/>
        <v>947.04452688313086</v>
      </c>
      <c r="R55" s="149">
        <f t="shared" si="48"/>
        <v>872.31890446501802</v>
      </c>
      <c r="S55" s="149">
        <f t="shared" si="48"/>
        <v>796.94176821514429</v>
      </c>
      <c r="T55" s="149">
        <f t="shared" si="48"/>
        <v>720.89250086932589</v>
      </c>
      <c r="U55" s="149">
        <f t="shared" si="48"/>
        <v>644.15014110098218</v>
      </c>
      <c r="V55" s="149">
        <f t="shared" si="48"/>
        <v>566.69337602534324</v>
      </c>
      <c r="W55" s="149">
        <f t="shared" si="48"/>
        <v>488.50053355927048</v>
      </c>
      <c r="X55" s="149">
        <f t="shared" si="48"/>
        <v>409.54957463375513</v>
      </c>
      <c r="Y55" s="149">
        <f t="shared" ref="Y55:AC55" si="49">IF((Y53-Y54)&lt;0,0,Y53-Y54)</f>
        <v>329.81808525609995</v>
      </c>
      <c r="Z55" s="149">
        <f t="shared" si="49"/>
        <v>249.28326841872467</v>
      </c>
      <c r="AA55" s="149">
        <f t="shared" si="49"/>
        <v>167.9219358514847</v>
      </c>
      <c r="AB55" s="149">
        <f t="shared" si="49"/>
        <v>85.71049961432027</v>
      </c>
      <c r="AC55" s="149">
        <f t="shared" si="49"/>
        <v>2.6249635270000908</v>
      </c>
    </row>
    <row r="56" spans="1:29" ht="11.25" customHeight="1">
      <c r="A56" s="62"/>
      <c r="B56" s="60"/>
      <c r="C56" s="60"/>
      <c r="D56" s="60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15.75">
      <c r="A57" s="151" t="s">
        <v>143</v>
      </c>
      <c r="B57" s="152"/>
      <c r="C57" s="152"/>
      <c r="D57" s="60"/>
      <c r="E57" s="144">
        <f>IF(Calcoli!$D$1&lt;6,E55*$D$25/1000,0)</f>
        <v>0</v>
      </c>
      <c r="F57" s="144">
        <f>IF(Calcoli!$D$1&lt;6,F55*$D$25/1000,0)</f>
        <v>0</v>
      </c>
      <c r="G57" s="144">
        <f>IF(Calcoli!$D$1&lt;6,G55*$D$25/1000,0)</f>
        <v>0</v>
      </c>
      <c r="H57" s="144">
        <f>IF(Calcoli!$D$1&lt;6,H55*$D$25/1000,0)</f>
        <v>0</v>
      </c>
      <c r="I57" s="144">
        <f>IF(Calcoli!$D$1&lt;6,I55*$D$25/1000,0)</f>
        <v>0</v>
      </c>
      <c r="J57" s="144">
        <f>IF(Calcoli!$D$1&lt;6,J55*$D$25/1000,0)</f>
        <v>0</v>
      </c>
      <c r="K57" s="144">
        <f>IF(Calcoli!$D$1&lt;6,K55*$D$25/1000,0)</f>
        <v>0</v>
      </c>
      <c r="L57" s="144">
        <f>IF(Calcoli!$D$1&lt;6,L55*$D$25/1000,0)</f>
        <v>0</v>
      </c>
      <c r="M57" s="144">
        <f>IF(Calcoli!$D$1&lt;6,M55*$D$25/1000,0)</f>
        <v>0</v>
      </c>
      <c r="N57" s="144">
        <f>IF(Calcoli!$D$1&lt;6,N55*$D$25/1000,0)</f>
        <v>0</v>
      </c>
      <c r="O57" s="144">
        <f>IF(Calcoli!$D$1&lt;6,O55*$D$25/1000,0)</f>
        <v>0</v>
      </c>
      <c r="P57" s="144">
        <f>IF(Calcoli!$D$1&lt;6,P55*$D$25/1000,0)</f>
        <v>0</v>
      </c>
      <c r="Q57" s="144">
        <f>IF(Calcoli!$D$1&lt;6,Q55*$D$25/1000,0)</f>
        <v>0</v>
      </c>
      <c r="R57" s="144">
        <f>IF(Calcoli!$D$1&lt;6,R55*$D$25/1000,0)</f>
        <v>0</v>
      </c>
      <c r="S57" s="144">
        <f>IF(Calcoli!$D$1&lt;6,S55*$D$25/1000,0)</f>
        <v>0</v>
      </c>
      <c r="T57" s="144">
        <f>IF(Calcoli!$D$1&lt;6,T55*$D$25/1000,0)</f>
        <v>0</v>
      </c>
      <c r="U57" s="144">
        <f>IF(Calcoli!$D$1&lt;6,U55*$D$25/1000,0)</f>
        <v>0</v>
      </c>
      <c r="V57" s="144">
        <f>IF(Calcoli!$D$1&lt;6,V55*$D$25/1000,0)</f>
        <v>0</v>
      </c>
      <c r="W57" s="144">
        <f>IF(Calcoli!$D$1&lt;6,W55*$D$25/1000,0)</f>
        <v>0</v>
      </c>
      <c r="X57" s="144">
        <f>IF(Calcoli!$D$1&lt;6,X55*$D$25/1000,0)</f>
        <v>0</v>
      </c>
      <c r="Y57" s="144">
        <v>0</v>
      </c>
      <c r="Z57" s="144">
        <v>0</v>
      </c>
      <c r="AA57" s="144">
        <v>0</v>
      </c>
      <c r="AB57" s="144">
        <v>0</v>
      </c>
      <c r="AC57" s="144">
        <v>0</v>
      </c>
    </row>
    <row r="58" spans="1:29" ht="15.75">
      <c r="A58" s="151" t="s">
        <v>144</v>
      </c>
      <c r="B58" s="152"/>
      <c r="C58" s="152"/>
      <c r="D58" s="60"/>
      <c r="E58" s="144">
        <f>IF(Calcoli!$D$1&lt;6,E54*$D$26/1000,0)</f>
        <v>0</v>
      </c>
      <c r="F58" s="144">
        <f>IF(Calcoli!$D$1&lt;6,F54*$D$26/1000,0)</f>
        <v>0</v>
      </c>
      <c r="G58" s="144">
        <f>IF(Calcoli!$D$1&lt;6,G54*$D$26/1000,0)</f>
        <v>0</v>
      </c>
      <c r="H58" s="144">
        <f>IF(Calcoli!$D$1&lt;6,H54*$D$26/1000,0)</f>
        <v>0</v>
      </c>
      <c r="I58" s="144">
        <f>IF(Calcoli!$D$1&lt;6,I54*$D$26/1000,0)</f>
        <v>0</v>
      </c>
      <c r="J58" s="144">
        <f>IF(Calcoli!$D$1&lt;6,J54*$D$26/1000,0)</f>
        <v>0</v>
      </c>
      <c r="K58" s="144">
        <f>IF(Calcoli!$D$1&lt;6,K54*$D$26/1000,0)</f>
        <v>0</v>
      </c>
      <c r="L58" s="144">
        <f>IF(Calcoli!$D$1&lt;6,L54*$D$26/1000,0)</f>
        <v>0</v>
      </c>
      <c r="M58" s="144">
        <f>IF(Calcoli!$D$1&lt;6,M54*$D$26/1000,0)</f>
        <v>0</v>
      </c>
      <c r="N58" s="144">
        <f>IF(Calcoli!$D$1&lt;6,N54*$D$26/1000,0)</f>
        <v>0</v>
      </c>
      <c r="O58" s="144">
        <f>IF(Calcoli!$D$1&lt;6,O54*$D$26/1000,0)</f>
        <v>0</v>
      </c>
      <c r="P58" s="144">
        <f>IF(Calcoli!$D$1&lt;6,P54*$D$26/1000,0)</f>
        <v>0</v>
      </c>
      <c r="Q58" s="144">
        <f>IF(Calcoli!$D$1&lt;6,Q54*$D$26/1000,0)</f>
        <v>0</v>
      </c>
      <c r="R58" s="144">
        <f>IF(Calcoli!$D$1&lt;6,R54*$D$26/1000,0)</f>
        <v>0</v>
      </c>
      <c r="S58" s="144">
        <f>IF(Calcoli!$D$1&lt;6,S54*$D$26/1000,0)</f>
        <v>0</v>
      </c>
      <c r="T58" s="144">
        <f>IF(Calcoli!$D$1&lt;6,T54*$D$26/1000,0)</f>
        <v>0</v>
      </c>
      <c r="U58" s="144">
        <f>IF(Calcoli!$D$1&lt;6,U54*$D$26/1000,0)</f>
        <v>0</v>
      </c>
      <c r="V58" s="144">
        <f>IF(Calcoli!$D$1&lt;6,V54*$D$26/1000,0)</f>
        <v>0</v>
      </c>
      <c r="W58" s="144">
        <f>IF(Calcoli!$D$1&lt;6,W54*$D$26/1000,0)</f>
        <v>0</v>
      </c>
      <c r="X58" s="144">
        <f>IF(Calcoli!$D$1&lt;6,X54*$D$26/1000,0)</f>
        <v>0</v>
      </c>
      <c r="Y58" s="144">
        <v>0</v>
      </c>
      <c r="Z58" s="144">
        <v>0</v>
      </c>
      <c r="AA58" s="144">
        <v>0</v>
      </c>
      <c r="AB58" s="144">
        <v>0</v>
      </c>
      <c r="AC58" s="144">
        <v>0</v>
      </c>
    </row>
    <row r="59" spans="1:29" ht="15.75">
      <c r="A59" s="151" t="s">
        <v>167</v>
      </c>
      <c r="B59" s="152"/>
      <c r="C59" s="152"/>
      <c r="D59" s="60"/>
      <c r="E59" s="144">
        <f>IF(Calcoli!$D$227=TRUE,(Calcoli!D223-'Simulazione 4.7'!E54)*$C$45,0)</f>
        <v>1476</v>
      </c>
      <c r="F59" s="144">
        <f>IF(Calcoli!$D$227=TRUE,(Calcoli!E223-'Simulazione 4.7'!F54)*$C$45,0)</f>
        <v>1505.52</v>
      </c>
      <c r="G59" s="144">
        <f>IF(Calcoli!$D$227=TRUE,(Calcoli!F223-'Simulazione 4.7'!G54)*$C$45,0)</f>
        <v>1535.6304</v>
      </c>
      <c r="H59" s="144">
        <f>IF(Calcoli!$D$227=TRUE,(Calcoli!G223-'Simulazione 4.7'!H54)*$C$45,0)</f>
        <v>1566.3430080000001</v>
      </c>
      <c r="I59" s="144">
        <f>IF(Calcoli!$D$227=TRUE,(Calcoli!H223-'Simulazione 4.7'!I54)*$C$45,0)</f>
        <v>1597.6698681599996</v>
      </c>
      <c r="J59" s="144">
        <f>IF(Calcoli!$D$227=TRUE,(Calcoli!I223-'Simulazione 4.7'!J54)*$C$45,0)</f>
        <v>1629.6232655231997</v>
      </c>
      <c r="K59" s="144">
        <f>IF(Calcoli!$D$227=TRUE,(Calcoli!J223-'Simulazione 4.7'!K54)*$C$45,0)</f>
        <v>1662.2157308336639</v>
      </c>
      <c r="L59" s="144">
        <f>IF(Calcoli!$D$227=TRUE,(Calcoli!K223-'Simulazione 4.7'!L54)*$C$45,0)</f>
        <v>1695.4600454503372</v>
      </c>
      <c r="M59" s="144">
        <f>IF(Calcoli!$D$227=TRUE,(Calcoli!L223-'Simulazione 4.7'!M54)*$C$45,0)</f>
        <v>1729.3692463593438</v>
      </c>
      <c r="N59" s="144">
        <f>IF(Calcoli!$D$227=TRUE,(Calcoli!M223-'Simulazione 4.7'!N54)*$C$45,0)</f>
        <v>1763.9566312865309</v>
      </c>
      <c r="O59" s="144">
        <f>IF(Calcoli!$D$227=TRUE,(Calcoli!N223-'Simulazione 4.7'!O54)*$C$45,0)</f>
        <v>1799.2357639122613</v>
      </c>
      <c r="P59" s="144">
        <f>IF(Calcoli!$D$227=TRUE,(Calcoli!O223-'Simulazione 4.7'!P54)*$C$45,0)</f>
        <v>1835.2204791905069</v>
      </c>
      <c r="Q59" s="144">
        <f>IF(Calcoli!$D$227=TRUE,(Calcoli!P223-'Simulazione 4.7'!Q54)*$C$45,0)</f>
        <v>1871.9248887743167</v>
      </c>
      <c r="R59" s="144">
        <f>IF(Calcoli!$D$227=TRUE,(Calcoli!Q223-'Simulazione 4.7'!R54)*$C$45,0)</f>
        <v>1909.3633865498032</v>
      </c>
      <c r="S59" s="144">
        <f>IF(Calcoli!$D$227=TRUE,(Calcoli!R223-'Simulazione 4.7'!S54)*$C$45,0)</f>
        <v>1947.5506542807991</v>
      </c>
      <c r="T59" s="144">
        <f>IF(Calcoli!$D$227=TRUE,(Calcoli!S223-'Simulazione 4.7'!T54)*$C$45,0)</f>
        <v>1986.5016673664149</v>
      </c>
      <c r="U59" s="144">
        <f>IF(Calcoli!$D$227=TRUE,(Calcoli!T223-'Simulazione 4.7'!U54)*$C$45,0)</f>
        <v>2026.2317007137433</v>
      </c>
      <c r="V59" s="144">
        <f>IF(Calcoli!$D$227=TRUE,(Calcoli!U223-'Simulazione 4.7'!V54)*$C$45,0)</f>
        <v>2066.7563347280184</v>
      </c>
      <c r="W59" s="144">
        <f>IF(Calcoli!$D$227=TRUE,(Calcoli!V223-'Simulazione 4.7'!W54)*$C$45,0)</f>
        <v>2108.0914614225785</v>
      </c>
      <c r="X59" s="144">
        <f>IF(Calcoli!$D$227=TRUE,(Calcoli!W223-'Simulazione 4.7'!X54)*$C$45,0)</f>
        <v>2150.2532906510301</v>
      </c>
      <c r="Y59" s="144">
        <f>IF(Calcoli!$Q$49=1,(Calcoli!W223-'Simulazione 4.7'!Y54)*$C$45,0)</f>
        <v>2140.81315425305</v>
      </c>
      <c r="Z59" s="144">
        <f>IF(Calcoli!$Q$49=1,(Calcoli!X223-'Simulazione 4.7'!Z54)*$C$45,0)</f>
        <v>2183.6294173381107</v>
      </c>
      <c r="AA59" s="144">
        <f>IF(Calcoli!$Q$49=1,(Calcoli!Y223-'Simulazione 4.7'!AA54)*$C$45,0)</f>
        <v>2227.3020056848732</v>
      </c>
      <c r="AB59" s="144">
        <f>IF(Calcoli!$Q$49=1,(Calcoli!Z223-'Simulazione 4.7'!AB54)*$C$45,0)</f>
        <v>2271.8480457985706</v>
      </c>
      <c r="AC59" s="144">
        <f>IF(Calcoli!$Q$49=1,(Calcoli!AA223-'Simulazione 4.7'!AC54)*$C$45,0)</f>
        <v>2317.2850067145419</v>
      </c>
    </row>
    <row r="60" spans="1:29" ht="15.75">
      <c r="A60" s="151" t="s">
        <v>168</v>
      </c>
      <c r="B60" s="152"/>
      <c r="C60" s="152"/>
      <c r="D60" s="60"/>
      <c r="E60" s="144">
        <f>IF(Calcoli!$D$230=TRUE,$C$46*E55,0)</f>
        <v>0</v>
      </c>
      <c r="F60" s="144">
        <f>IF(Calcoli!$D$230=TRUE,$C$46*F55,0)</f>
        <v>0</v>
      </c>
      <c r="G60" s="144">
        <f>IF(Calcoli!$D$230=TRUE,$C$46*G55,0)</f>
        <v>0</v>
      </c>
      <c r="H60" s="144">
        <f>IF(Calcoli!$D$230=TRUE,$C$46*H55,0)</f>
        <v>0</v>
      </c>
      <c r="I60" s="144">
        <f>IF(Calcoli!$D$230=TRUE,$C$46*I55,0)</f>
        <v>0</v>
      </c>
      <c r="J60" s="144">
        <f>IF(Calcoli!$D$230=TRUE,$C$46*J55,0)</f>
        <v>0</v>
      </c>
      <c r="K60" s="144">
        <f>IF(Calcoli!$D$230=TRUE,$C$46*K55,0)</f>
        <v>0</v>
      </c>
      <c r="L60" s="144">
        <f>IF(Calcoli!$D$230=TRUE,$C$46*L55,0)</f>
        <v>0</v>
      </c>
      <c r="M60" s="144">
        <f>IF(Calcoli!$D$230=TRUE,$C$46*M55,0)</f>
        <v>0</v>
      </c>
      <c r="N60" s="144">
        <f>IF(Calcoli!$D$230=TRUE,$C$46*N55,0)</f>
        <v>0</v>
      </c>
      <c r="O60" s="144">
        <f>IF(Calcoli!$D$230=TRUE,$C$46*O55,0)</f>
        <v>0</v>
      </c>
      <c r="P60" s="144">
        <f>IF(Calcoli!$D$230=TRUE,$C$46*P55,0)</f>
        <v>0</v>
      </c>
      <c r="Q60" s="144">
        <f>IF(Calcoli!$D$230=TRUE,$C$46*Q55,0)</f>
        <v>0</v>
      </c>
      <c r="R60" s="144">
        <f>IF(Calcoli!$D$230=TRUE,$C$46*R55,0)</f>
        <v>0</v>
      </c>
      <c r="S60" s="144">
        <f>IF(Calcoli!$D$230=TRUE,$C$46*S55,0)</f>
        <v>0</v>
      </c>
      <c r="T60" s="144">
        <f>IF(Calcoli!$D$230=TRUE,$C$46*T55,0)</f>
        <v>0</v>
      </c>
      <c r="U60" s="144">
        <f>IF(Calcoli!$D$230=TRUE,$C$46*U55,0)</f>
        <v>0</v>
      </c>
      <c r="V60" s="144">
        <f>IF(Calcoli!$D$230=TRUE,$C$46*V55,0)</f>
        <v>0</v>
      </c>
      <c r="W60" s="144">
        <f>IF(Calcoli!$D$230=TRUE,$C$46*W55,0)</f>
        <v>0</v>
      </c>
      <c r="X60" s="144">
        <f>IF(Calcoli!$D$230=TRUE,$C$46*X55,0)</f>
        <v>0</v>
      </c>
      <c r="Y60" s="144">
        <f>IF(Calcoli!$Q$49=2,Y55*$C$46,0)</f>
        <v>0</v>
      </c>
      <c r="Z60" s="144">
        <f>IF(Calcoli!$Q$49=2,Z55*$C$46,0)</f>
        <v>0</v>
      </c>
      <c r="AA60" s="144">
        <f>IF(Calcoli!$Q$49=2,AA55*$C$46,0)</f>
        <v>0</v>
      </c>
      <c r="AB60" s="144">
        <f>IF(Calcoli!$Q$49=2,AB55*$C$46,0)</f>
        <v>0</v>
      </c>
      <c r="AC60" s="144">
        <f>IF(Calcoli!$Q$49=2,AC55*$C$46,0)</f>
        <v>0</v>
      </c>
    </row>
    <row r="61" spans="1:29" ht="16.5" thickBot="1">
      <c r="A61" s="153" t="s">
        <v>39</v>
      </c>
      <c r="B61" s="154"/>
      <c r="C61" s="154"/>
      <c r="D61" s="60"/>
      <c r="E61" s="146">
        <f>E54*C45</f>
        <v>324</v>
      </c>
      <c r="F61" s="146">
        <f t="shared" ref="F61:X61" si="50">($C$45*F54)+(($C$45*F54)/100*$C$48)</f>
        <v>350.30879999999996</v>
      </c>
      <c r="G61" s="146">
        <f t="shared" si="50"/>
        <v>357.314976</v>
      </c>
      <c r="H61" s="146">
        <f t="shared" si="50"/>
        <v>364.46127552000002</v>
      </c>
      <c r="I61" s="146">
        <f t="shared" si="50"/>
        <v>371.75050103040002</v>
      </c>
      <c r="J61" s="146">
        <f t="shared" si="50"/>
        <v>379.18551105100806</v>
      </c>
      <c r="K61" s="146">
        <f t="shared" si="50"/>
        <v>386.76922127202823</v>
      </c>
      <c r="L61" s="146">
        <f t="shared" si="50"/>
        <v>394.50460569746878</v>
      </c>
      <c r="M61" s="146">
        <f t="shared" si="50"/>
        <v>402.39469781141821</v>
      </c>
      <c r="N61" s="146">
        <f t="shared" si="50"/>
        <v>410.44259176764649</v>
      </c>
      <c r="O61" s="146">
        <f t="shared" si="50"/>
        <v>418.65144360299945</v>
      </c>
      <c r="P61" s="146">
        <f t="shared" si="50"/>
        <v>427.02447247505944</v>
      </c>
      <c r="Q61" s="146">
        <f t="shared" si="50"/>
        <v>435.56496192456058</v>
      </c>
      <c r="R61" s="146">
        <f t="shared" si="50"/>
        <v>444.27626116305174</v>
      </c>
      <c r="S61" s="146">
        <f t="shared" si="50"/>
        <v>453.16178638631277</v>
      </c>
      <c r="T61" s="146">
        <f t="shared" si="50"/>
        <v>462.22502211403906</v>
      </c>
      <c r="U61" s="146">
        <f t="shared" si="50"/>
        <v>471.46952255631987</v>
      </c>
      <c r="V61" s="146">
        <f t="shared" si="50"/>
        <v>480.89891300744631</v>
      </c>
      <c r="W61" s="146">
        <f t="shared" si="50"/>
        <v>490.51689126759521</v>
      </c>
      <c r="X61" s="146">
        <f t="shared" si="50"/>
        <v>500.32722909294716</v>
      </c>
      <c r="Y61" s="146">
        <f t="shared" ref="Y61:AC61" si="51">($C$45*Y54)+(($C$45*Y54)/100*$C$48)</f>
        <v>510.33377367480614</v>
      </c>
      <c r="Z61" s="146">
        <f t="shared" si="51"/>
        <v>520.54044914830229</v>
      </c>
      <c r="AA61" s="146">
        <f t="shared" si="51"/>
        <v>530.95125813126822</v>
      </c>
      <c r="AB61" s="146">
        <f t="shared" si="51"/>
        <v>541.57028329389357</v>
      </c>
      <c r="AC61" s="146">
        <f t="shared" si="51"/>
        <v>552.40168895977149</v>
      </c>
    </row>
    <row r="62" spans="1:29" ht="16.5" thickBot="1">
      <c r="A62" s="62" t="s">
        <v>149</v>
      </c>
      <c r="B62" s="60"/>
      <c r="C62" s="60"/>
      <c r="D62" s="60"/>
      <c r="E62" s="141">
        <f>SUM(E57:E61)</f>
        <v>1800</v>
      </c>
      <c r="F62" s="142">
        <f t="shared" ref="F62:X62" si="52">SUM(F57:F61)</f>
        <v>1855.8288</v>
      </c>
      <c r="G62" s="142">
        <f t="shared" si="52"/>
        <v>1892.9453760000001</v>
      </c>
      <c r="H62" s="142">
        <f t="shared" si="52"/>
        <v>1930.8042835200001</v>
      </c>
      <c r="I62" s="142">
        <f t="shared" si="52"/>
        <v>1969.4203691903997</v>
      </c>
      <c r="J62" s="142">
        <f t="shared" si="52"/>
        <v>2008.8087765742077</v>
      </c>
      <c r="K62" s="142">
        <f t="shared" si="52"/>
        <v>2048.9849521056922</v>
      </c>
      <c r="L62" s="142">
        <f t="shared" si="52"/>
        <v>2089.9646511478059</v>
      </c>
      <c r="M62" s="142">
        <f t="shared" si="52"/>
        <v>2131.763944170762</v>
      </c>
      <c r="N62" s="142">
        <f t="shared" si="52"/>
        <v>2174.3992230541771</v>
      </c>
      <c r="O62" s="142">
        <f t="shared" si="52"/>
        <v>2217.8872075152608</v>
      </c>
      <c r="P62" s="142">
        <f t="shared" si="52"/>
        <v>2262.2449516655665</v>
      </c>
      <c r="Q62" s="142">
        <f t="shared" si="52"/>
        <v>2307.4898506988775</v>
      </c>
      <c r="R62" s="142">
        <f t="shared" si="52"/>
        <v>2353.6396477128551</v>
      </c>
      <c r="S62" s="142">
        <f t="shared" si="52"/>
        <v>2400.7124406671119</v>
      </c>
      <c r="T62" s="142">
        <f t="shared" si="52"/>
        <v>2448.7266894804538</v>
      </c>
      <c r="U62" s="142">
        <f t="shared" si="52"/>
        <v>2497.7012232700631</v>
      </c>
      <c r="V62" s="142">
        <f t="shared" si="52"/>
        <v>2547.6552477354649</v>
      </c>
      <c r="W62" s="142">
        <f t="shared" si="52"/>
        <v>2598.6083526901739</v>
      </c>
      <c r="X62" s="143">
        <f t="shared" si="52"/>
        <v>2650.5805197439772</v>
      </c>
      <c r="Y62" s="143">
        <f t="shared" ref="Y62:AC62" si="53">SUM(Y57:Y61)</f>
        <v>2651.1469279278563</v>
      </c>
      <c r="Z62" s="143">
        <f t="shared" si="53"/>
        <v>2704.169866486413</v>
      </c>
      <c r="AA62" s="143">
        <f t="shared" si="53"/>
        <v>2758.2532638161415</v>
      </c>
      <c r="AB62" s="143">
        <f t="shared" si="53"/>
        <v>2813.4183290924643</v>
      </c>
      <c r="AC62" s="143">
        <f t="shared" si="53"/>
        <v>2869.6866956743133</v>
      </c>
    </row>
    <row r="63" spans="1:29" ht="11.25" customHeight="1">
      <c r="A63" s="62"/>
      <c r="B63" s="60"/>
      <c r="C63" s="60"/>
      <c r="D63" s="6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1:29" ht="15.75">
      <c r="A64" s="155" t="s">
        <v>92</v>
      </c>
      <c r="B64" s="156"/>
      <c r="C64" s="60"/>
      <c r="D64" s="60"/>
      <c r="E64" s="64">
        <f>IF(Calcoli!$I$72=TRUE,Calcoli!D88,0)</f>
        <v>0</v>
      </c>
      <c r="F64" s="64">
        <f>IF(Calcoli!$I$72=TRUE,Calcoli!E88,0)</f>
        <v>0</v>
      </c>
      <c r="G64" s="64">
        <f>IF(Calcoli!$I$72=TRUE,Calcoli!F88,0)</f>
        <v>0</v>
      </c>
      <c r="H64" s="64">
        <f>IF(Calcoli!$I$72=TRUE,Calcoli!G88,0)</f>
        <v>0</v>
      </c>
      <c r="I64" s="64">
        <f>IF(Calcoli!$I$72=TRUE,Calcoli!H88,0)</f>
        <v>0</v>
      </c>
      <c r="J64" s="64">
        <f>IF(Calcoli!$I$72=TRUE,Calcoli!I88,0)</f>
        <v>0</v>
      </c>
      <c r="K64" s="64">
        <f>IF(Calcoli!$I$72=TRUE,Calcoli!J88,0)</f>
        <v>0</v>
      </c>
      <c r="L64" s="64">
        <f>IF(Calcoli!$I$72=TRUE,Calcoli!K88,0)</f>
        <v>0</v>
      </c>
      <c r="M64" s="64">
        <f>IF(Calcoli!$I$72=TRUE,Calcoli!L88,0)</f>
        <v>0</v>
      </c>
      <c r="N64" s="64">
        <f>IF(Calcoli!$I$72=TRUE,Calcoli!M88,0)</f>
        <v>0</v>
      </c>
      <c r="O64" s="64">
        <f>IF(Calcoli!$I$72=TRUE,Calcoli!N88,0)</f>
        <v>0</v>
      </c>
      <c r="P64" s="64">
        <f>IF(Calcoli!$I$72=TRUE,Calcoli!O88,0)</f>
        <v>0</v>
      </c>
      <c r="Q64" s="64">
        <f>IF(Calcoli!$I$72=TRUE,Calcoli!P88,0)</f>
        <v>0</v>
      </c>
      <c r="R64" s="64">
        <f>IF(Calcoli!$I$72=TRUE,Calcoli!Q88,0)</f>
        <v>0</v>
      </c>
      <c r="S64" s="64">
        <f>IF(Calcoli!$I$72=TRUE,Calcoli!R88,0)</f>
        <v>0</v>
      </c>
      <c r="T64" s="64">
        <f>IF(Calcoli!$I$72=TRUE,Calcoli!S88,0)</f>
        <v>0</v>
      </c>
      <c r="U64" s="64">
        <f>IF(Calcoli!$I$72=TRUE,Calcoli!T88,0)</f>
        <v>0</v>
      </c>
      <c r="V64" s="64">
        <f>IF(Calcoli!$I$72=TRUE,Calcoli!U88,0)</f>
        <v>0</v>
      </c>
      <c r="W64" s="64">
        <f>IF(Calcoli!$I$72=TRUE,Calcoli!V88,0)</f>
        <v>0</v>
      </c>
      <c r="X64" s="64">
        <f>IF(Calcoli!$I$72=TRUE,Calcoli!W88,0)</f>
        <v>0</v>
      </c>
      <c r="Y64" s="64">
        <f>IF(Calcoli!$I$72=TRUE,Calcoli!X88,0)</f>
        <v>0</v>
      </c>
      <c r="Z64" s="64">
        <f>IF(Calcoli!$I$72=TRUE,Calcoli!Y88,0)</f>
        <v>0</v>
      </c>
      <c r="AA64" s="64">
        <f>IF(Calcoli!$I$72=TRUE,Calcoli!Z88,0)</f>
        <v>0</v>
      </c>
      <c r="AB64" s="64">
        <f>IF(Calcoli!$I$72=TRUE,Calcoli!AA88,0)</f>
        <v>0</v>
      </c>
      <c r="AC64" s="64">
        <f>IF(Calcoli!$I$72=TRUE,Calcoli!AB88,0)</f>
        <v>0</v>
      </c>
    </row>
    <row r="65" spans="1:29" ht="15.75">
      <c r="A65" s="155" t="s">
        <v>121</v>
      </c>
      <c r="B65" s="156"/>
      <c r="C65" s="60"/>
      <c r="D65" s="60"/>
      <c r="E65" s="104">
        <f>IF(Calcoli!$L$72=FALSE,Calcoli!D67,0)</f>
        <v>0</v>
      </c>
      <c r="F65" s="104">
        <f>IF(Calcoli!$L$72=FALSE,Calcoli!E67,0)</f>
        <v>0</v>
      </c>
      <c r="G65" s="104">
        <f>IF(Calcoli!$L$72=FALSE,Calcoli!F67,0)</f>
        <v>0</v>
      </c>
      <c r="H65" s="104">
        <f>IF(Calcoli!$L$72=FALSE,Calcoli!G67,0)</f>
        <v>0</v>
      </c>
      <c r="I65" s="104">
        <f>IF(Calcoli!$L$72=FALSE,Calcoli!H67,0)</f>
        <v>0</v>
      </c>
      <c r="J65" s="104">
        <f>IF(Calcoli!$L$72=FALSE,Calcoli!I67,0)</f>
        <v>0</v>
      </c>
      <c r="K65" s="104">
        <f>IF(Calcoli!$L$72=FALSE,Calcoli!J67,0)</f>
        <v>0</v>
      </c>
      <c r="L65" s="104">
        <f>IF(Calcoli!$L$72=FALSE,Calcoli!K67,0)</f>
        <v>0</v>
      </c>
      <c r="M65" s="104">
        <f>IF(Calcoli!$L$72=FALSE,Calcoli!L67,0)</f>
        <v>0</v>
      </c>
      <c r="N65" s="104">
        <f>IF(Calcoli!$L$72=FALSE,Calcoli!M67,0)</f>
        <v>0</v>
      </c>
      <c r="O65" s="104">
        <f>IF(Calcoli!$L$72=FALSE,Calcoli!N67,0)</f>
        <v>0</v>
      </c>
      <c r="P65" s="104">
        <f>IF(Calcoli!$L$72=FALSE,Calcoli!O67,0)</f>
        <v>0</v>
      </c>
      <c r="Q65" s="104">
        <f>IF(Calcoli!$L$72=FALSE,Calcoli!P67,0)</f>
        <v>0</v>
      </c>
      <c r="R65" s="104">
        <f>IF(Calcoli!$L$72=FALSE,Calcoli!Q67,0)</f>
        <v>0</v>
      </c>
      <c r="S65" s="104">
        <f>IF(Calcoli!$L$72=FALSE,Calcoli!R67,0)</f>
        <v>0</v>
      </c>
      <c r="T65" s="104">
        <f>IF(Calcoli!$L$72=FALSE,Calcoli!S67,0)</f>
        <v>0</v>
      </c>
      <c r="U65" s="104">
        <f>IF(Calcoli!$L$72=FALSE,Calcoli!T67,0)</f>
        <v>0</v>
      </c>
      <c r="V65" s="104">
        <f>IF(Calcoli!$L$72=FALSE,Calcoli!U67,0)</f>
        <v>0</v>
      </c>
      <c r="W65" s="104">
        <f>IF(Calcoli!$L$72=FALSE,Calcoli!V67,0)</f>
        <v>0</v>
      </c>
      <c r="X65" s="104">
        <f>IF(Calcoli!$L$72=FALSE,Calcoli!W67,0)</f>
        <v>0</v>
      </c>
      <c r="Y65" s="104">
        <f>IF(Calcoli!$L$72=FALSE,Calcoli!X67,0)</f>
        <v>0</v>
      </c>
      <c r="Z65" s="104">
        <f>IF(Calcoli!$L$72=FALSE,Calcoli!Y67,0)</f>
        <v>0</v>
      </c>
      <c r="AA65" s="104">
        <f>IF(Calcoli!$L$72=FALSE,Calcoli!Z67,0)</f>
        <v>0</v>
      </c>
      <c r="AB65" s="104">
        <f>IF(Calcoli!$L$72=FALSE,Calcoli!AA67,0)</f>
        <v>0</v>
      </c>
      <c r="AC65" s="104">
        <f>IF(Calcoli!$L$72=FALSE,Calcoli!AB67,0)</f>
        <v>0</v>
      </c>
    </row>
    <row r="66" spans="1:29" ht="15.75">
      <c r="A66" s="155" t="s">
        <v>90</v>
      </c>
      <c r="B66" s="156"/>
      <c r="C66" s="60"/>
      <c r="D66" s="60"/>
      <c r="E66" s="64">
        <f>IF(Calcoli!$I$76=TRUE,Calcoli!D110,0)</f>
        <v>0</v>
      </c>
      <c r="F66" s="64">
        <f>IF(Calcoli!$I$76=TRUE,Calcoli!E110,0)</f>
        <v>0</v>
      </c>
      <c r="G66" s="64">
        <f>IF(Calcoli!$I$76=TRUE,Calcoli!F110,0)</f>
        <v>0</v>
      </c>
      <c r="H66" s="64">
        <f>IF(Calcoli!$I$76=TRUE,Calcoli!G110,0)</f>
        <v>0</v>
      </c>
      <c r="I66" s="64">
        <f>IF(Calcoli!$I$76=TRUE,Calcoli!H110,0)</f>
        <v>0</v>
      </c>
      <c r="J66" s="64">
        <f>IF(Calcoli!$I$76=TRUE,Calcoli!I110,0)</f>
        <v>0</v>
      </c>
      <c r="K66" s="64">
        <f>IF(Calcoli!$I$76=TRUE,Calcoli!J110,0)</f>
        <v>0</v>
      </c>
      <c r="L66" s="64">
        <f>IF(Calcoli!$I$76=TRUE,Calcoli!K110,0)</f>
        <v>0</v>
      </c>
      <c r="M66" s="64">
        <f>IF(Calcoli!$I$76=TRUE,Calcoli!L110,0)</f>
        <v>0</v>
      </c>
      <c r="N66" s="64">
        <f>IF(Calcoli!$I$76=TRUE,Calcoli!M110,0)</f>
        <v>0</v>
      </c>
      <c r="O66" s="64">
        <f>IF(Calcoli!$I$76=TRUE,Calcoli!N110,0)</f>
        <v>0</v>
      </c>
      <c r="P66" s="64">
        <f>IF(Calcoli!$I$76=TRUE,Calcoli!O110,0)</f>
        <v>0</v>
      </c>
      <c r="Q66" s="64">
        <f>IF(Calcoli!$I$76=TRUE,Calcoli!P110,0)</f>
        <v>0</v>
      </c>
      <c r="R66" s="64">
        <f>IF(Calcoli!$I$76=TRUE,Calcoli!Q110,0)</f>
        <v>0</v>
      </c>
      <c r="S66" s="64">
        <f>IF(Calcoli!$I$76=TRUE,Calcoli!R110,0)</f>
        <v>0</v>
      </c>
      <c r="T66" s="64">
        <f>IF(Calcoli!$I$76=TRUE,Calcoli!S110,0)</f>
        <v>0</v>
      </c>
      <c r="U66" s="64">
        <f>IF(Calcoli!$I$76=TRUE,Calcoli!T110,0)</f>
        <v>0</v>
      </c>
      <c r="V66" s="64">
        <f>IF(Calcoli!$I$76=TRUE,Calcoli!U110,0)</f>
        <v>0</v>
      </c>
      <c r="W66" s="64">
        <f>IF(Calcoli!$I$76=TRUE,Calcoli!V110,0)</f>
        <v>0</v>
      </c>
      <c r="X66" s="64">
        <f>IF(Calcoli!$I$76=TRUE,Calcoli!W110,0)</f>
        <v>0</v>
      </c>
      <c r="Y66" s="64">
        <f>IF(Calcoli!$I$76=TRUE,Calcoli!X110,0)</f>
        <v>0</v>
      </c>
      <c r="Z66" s="64">
        <f>IF(Calcoli!$I$76=TRUE,Calcoli!Y110,0)</f>
        <v>0</v>
      </c>
      <c r="AA66" s="64">
        <f>IF(Calcoli!$I$76=TRUE,Calcoli!Z110,0)</f>
        <v>0</v>
      </c>
      <c r="AB66" s="64">
        <f>IF(Calcoli!$I$76=TRUE,Calcoli!AA110,0)</f>
        <v>0</v>
      </c>
      <c r="AC66" s="64">
        <f>IF(Calcoli!$I$76=TRUE,Calcoli!AB110,0)</f>
        <v>0</v>
      </c>
    </row>
    <row r="67" spans="1:29" ht="15.75">
      <c r="A67" s="155" t="s">
        <v>120</v>
      </c>
      <c r="B67" s="156"/>
      <c r="C67" s="60"/>
      <c r="D67" s="60"/>
      <c r="E67" s="150">
        <f>IF(Calcoli!$I$78=TRUE,E65/100*$K$21,0)</f>
        <v>0</v>
      </c>
      <c r="F67" s="150">
        <f>IF(Calcoli!$I$78=TRUE,F65/100*$K$21,0)</f>
        <v>0</v>
      </c>
      <c r="G67" s="150">
        <f>IF(Calcoli!$I$78=TRUE,G65/100*$K$21,0)</f>
        <v>0</v>
      </c>
      <c r="H67" s="150">
        <f>IF(Calcoli!$I$78=TRUE,H65/100*$K$21,0)</f>
        <v>0</v>
      </c>
      <c r="I67" s="150">
        <f>IF(Calcoli!$I$78=TRUE,I65/100*$K$21,0)</f>
        <v>0</v>
      </c>
      <c r="J67" s="150">
        <f>IF(Calcoli!$I$78=TRUE,J65/100*$K$21,0)</f>
        <v>0</v>
      </c>
      <c r="K67" s="150">
        <f>IF(Calcoli!$I$78=TRUE,K65/100*$K$21,0)</f>
        <v>0</v>
      </c>
      <c r="L67" s="150">
        <f>IF(Calcoli!$I$78=TRUE,L65/100*$K$21,0)</f>
        <v>0</v>
      </c>
      <c r="M67" s="150">
        <f>IF(Calcoli!$I$78=TRUE,M65/100*$K$21,0)</f>
        <v>0</v>
      </c>
      <c r="N67" s="150">
        <f>IF(Calcoli!$I$78=TRUE,N65/100*$K$21,0)</f>
        <v>0</v>
      </c>
      <c r="O67" s="150">
        <f>IF(Calcoli!$I$78=TRUE,O65/100*$K$21,0)</f>
        <v>0</v>
      </c>
      <c r="P67" s="150">
        <f>IF(Calcoli!$I$78=TRUE,P65/100*$K$21,0)</f>
        <v>0</v>
      </c>
      <c r="Q67" s="150">
        <f>IF(Calcoli!$I$78=TRUE,Q65/100*$K$21,0)</f>
        <v>0</v>
      </c>
      <c r="R67" s="150">
        <f>IF(Calcoli!$I$78=TRUE,R65/100*$K$21,0)</f>
        <v>0</v>
      </c>
      <c r="S67" s="150">
        <f>IF(Calcoli!$I$78=TRUE,S65/100*$K$21,0)</f>
        <v>0</v>
      </c>
      <c r="T67" s="150">
        <f>IF(Calcoli!$I$78=TRUE,T65/100*$K$21,0)</f>
        <v>0</v>
      </c>
      <c r="U67" s="150">
        <f>IF(Calcoli!$I$78=TRUE,U65/100*$K$21,0)</f>
        <v>0</v>
      </c>
      <c r="V67" s="150">
        <f>IF(Calcoli!$I$78=TRUE,V65/100*$K$21,0)</f>
        <v>0</v>
      </c>
      <c r="W67" s="150">
        <f>IF(Calcoli!$I$78=TRUE,W65/100*$K$21,0)</f>
        <v>0</v>
      </c>
      <c r="X67" s="150">
        <f>IF(Calcoli!$I$78=TRUE,X65/100*$K$21,0)</f>
        <v>0</v>
      </c>
      <c r="Y67" s="150">
        <f>IF(Calcoli!$I$78=TRUE,Y65/100*$K$21,0)</f>
        <v>0</v>
      </c>
      <c r="Z67" s="150">
        <f>IF(Calcoli!$I$78=TRUE,Z65/100*$K$21,0)</f>
        <v>0</v>
      </c>
      <c r="AA67" s="150">
        <f>IF(Calcoli!$I$78=TRUE,AA65/100*$K$21,0)</f>
        <v>0</v>
      </c>
      <c r="AB67" s="150">
        <f>IF(Calcoli!$I$78=TRUE,AB65/100*$K$21,0)</f>
        <v>0</v>
      </c>
      <c r="AC67" s="150">
        <f>IF(Calcoli!$I$78=TRUE,AC65/100*$K$21,0)</f>
        <v>0</v>
      </c>
    </row>
    <row r="68" spans="1:29" ht="15.75">
      <c r="A68" s="155" t="s">
        <v>91</v>
      </c>
      <c r="B68" s="156"/>
      <c r="C68" s="60"/>
      <c r="D68" s="60"/>
      <c r="E68" s="64">
        <f>IF(Calcoli!$I$74=TRUE,E65/100*$K$19,0)</f>
        <v>0</v>
      </c>
      <c r="F68" s="64">
        <f>IF(Calcoli!$I$74=TRUE,F65/100*$K$19,0)</f>
        <v>0</v>
      </c>
      <c r="G68" s="64">
        <f>IF(Calcoli!$I$74=TRUE,G65/100*$K$19,0)</f>
        <v>0</v>
      </c>
      <c r="H68" s="64">
        <f>IF(Calcoli!$I$74=TRUE,H65/100*$K$19,0)</f>
        <v>0</v>
      </c>
      <c r="I68" s="64">
        <f>IF(Calcoli!$I$74=TRUE,I65/100*$K$19,0)</f>
        <v>0</v>
      </c>
      <c r="J68" s="64">
        <f>IF(Calcoli!$I$74=TRUE,J65/100*$K$19,0)</f>
        <v>0</v>
      </c>
      <c r="K68" s="64">
        <f>IF(Calcoli!$I$74=TRUE,K65/100*$K$19,0)</f>
        <v>0</v>
      </c>
      <c r="L68" s="64">
        <f>IF(Calcoli!$I$74=TRUE,L65/100*$K$19,0)</f>
        <v>0</v>
      </c>
      <c r="M68" s="64">
        <f>IF(Calcoli!$I$74=TRUE,M65/100*$K$19,0)</f>
        <v>0</v>
      </c>
      <c r="N68" s="64">
        <f>IF(Calcoli!$I$74=TRUE,N65/100*$K$19,0)</f>
        <v>0</v>
      </c>
      <c r="O68" s="64">
        <f>IF(Calcoli!$I$74=TRUE,O65/100*$K$19,0)</f>
        <v>0</v>
      </c>
      <c r="P68" s="64">
        <f>IF(Calcoli!$I$74=TRUE,P65/100*$K$19,0)</f>
        <v>0</v>
      </c>
      <c r="Q68" s="64">
        <f>IF(Calcoli!$I$74=TRUE,Q65/100*$K$19,0)</f>
        <v>0</v>
      </c>
      <c r="R68" s="64">
        <f>IF(Calcoli!$I$74=TRUE,R65/100*$K$19,0)</f>
        <v>0</v>
      </c>
      <c r="S68" s="64">
        <f>IF(Calcoli!$I$74=TRUE,S65/100*$K$19,0)</f>
        <v>0</v>
      </c>
      <c r="T68" s="64">
        <f>IF(Calcoli!$I$74=TRUE,T65/100*$K$19,0)</f>
        <v>0</v>
      </c>
      <c r="U68" s="64">
        <f>IF(Calcoli!$I$74=TRUE,U65/100*$K$19,0)</f>
        <v>0</v>
      </c>
      <c r="V68" s="64">
        <f>IF(Calcoli!$I$74=TRUE,V65/100*$K$19,0)</f>
        <v>0</v>
      </c>
      <c r="W68" s="64">
        <f>IF(Calcoli!$I$74=TRUE,W65/100*$K$19,0)</f>
        <v>0</v>
      </c>
      <c r="X68" s="64">
        <f>IF(Calcoli!$I$74=TRUE,X65/100*$K$19,0)</f>
        <v>0</v>
      </c>
      <c r="Y68" s="64">
        <f>IF(Calcoli!$I$74=TRUE,Y65/100*$K$19,0)</f>
        <v>0</v>
      </c>
      <c r="Z68" s="64">
        <f>IF(Calcoli!$I$74=TRUE,Z65/100*$K$19,0)</f>
        <v>0</v>
      </c>
      <c r="AA68" s="64">
        <f>IF(Calcoli!$I$74=TRUE,AA65/100*$K$19,0)</f>
        <v>0</v>
      </c>
      <c r="AB68" s="64">
        <f>IF(Calcoli!$I$74=TRUE,AB65/100*$K$19,0)</f>
        <v>0</v>
      </c>
      <c r="AC68" s="64">
        <f>IF(Calcoli!$I$74=TRUE,AC65/100*$K$19,0)</f>
        <v>0</v>
      </c>
    </row>
    <row r="69" spans="1:29" ht="15.75">
      <c r="A69" s="157" t="s">
        <v>42</v>
      </c>
      <c r="B69" s="158"/>
      <c r="C69" s="60"/>
      <c r="D69" s="60"/>
      <c r="E69" s="147">
        <f>$C$38</f>
        <v>150</v>
      </c>
      <c r="F69" s="147">
        <f t="shared" ref="F69:AC69" si="54">$C$38</f>
        <v>150</v>
      </c>
      <c r="G69" s="147">
        <f t="shared" si="54"/>
        <v>150</v>
      </c>
      <c r="H69" s="147">
        <f t="shared" si="54"/>
        <v>150</v>
      </c>
      <c r="I69" s="147">
        <f t="shared" si="54"/>
        <v>150</v>
      </c>
      <c r="J69" s="147">
        <f t="shared" si="54"/>
        <v>150</v>
      </c>
      <c r="K69" s="147">
        <f t="shared" si="54"/>
        <v>150</v>
      </c>
      <c r="L69" s="147">
        <f t="shared" si="54"/>
        <v>150</v>
      </c>
      <c r="M69" s="147">
        <f t="shared" si="54"/>
        <v>150</v>
      </c>
      <c r="N69" s="147">
        <f t="shared" si="54"/>
        <v>150</v>
      </c>
      <c r="O69" s="147">
        <f t="shared" si="54"/>
        <v>150</v>
      </c>
      <c r="P69" s="147">
        <f t="shared" si="54"/>
        <v>150</v>
      </c>
      <c r="Q69" s="147">
        <f t="shared" si="54"/>
        <v>150</v>
      </c>
      <c r="R69" s="147">
        <f t="shared" si="54"/>
        <v>150</v>
      </c>
      <c r="S69" s="147">
        <f t="shared" si="54"/>
        <v>150</v>
      </c>
      <c r="T69" s="147">
        <f t="shared" si="54"/>
        <v>150</v>
      </c>
      <c r="U69" s="147">
        <f t="shared" si="54"/>
        <v>150</v>
      </c>
      <c r="V69" s="147">
        <f t="shared" si="54"/>
        <v>150</v>
      </c>
      <c r="W69" s="147">
        <f t="shared" si="54"/>
        <v>150</v>
      </c>
      <c r="X69" s="147">
        <f t="shared" si="54"/>
        <v>150</v>
      </c>
      <c r="Y69" s="147">
        <f t="shared" si="54"/>
        <v>150</v>
      </c>
      <c r="Z69" s="147">
        <f t="shared" si="54"/>
        <v>150</v>
      </c>
      <c r="AA69" s="147">
        <f t="shared" si="54"/>
        <v>150</v>
      </c>
      <c r="AB69" s="147">
        <f t="shared" si="54"/>
        <v>150</v>
      </c>
      <c r="AC69" s="147">
        <f t="shared" si="54"/>
        <v>150</v>
      </c>
    </row>
    <row r="70" spans="1:29" ht="15.75">
      <c r="A70" s="157" t="s">
        <v>82</v>
      </c>
      <c r="B70" s="158"/>
      <c r="C70" s="60"/>
      <c r="D70" s="60"/>
      <c r="E70" s="147">
        <f>IF(Calcoli!$D$1&lt;6,C40,0)</f>
        <v>0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47">
        <v>0</v>
      </c>
      <c r="Q70" s="147">
        <v>0</v>
      </c>
      <c r="R70" s="147">
        <v>0</v>
      </c>
      <c r="S70" s="147">
        <v>0</v>
      </c>
      <c r="T70" s="147">
        <v>0</v>
      </c>
      <c r="U70" s="147">
        <v>0</v>
      </c>
      <c r="V70" s="147">
        <v>0</v>
      </c>
      <c r="W70" s="147">
        <v>0</v>
      </c>
      <c r="X70" s="147">
        <v>0</v>
      </c>
      <c r="Y70" s="147">
        <v>0</v>
      </c>
      <c r="Z70" s="147">
        <v>0</v>
      </c>
      <c r="AA70" s="147">
        <v>0</v>
      </c>
      <c r="AB70" s="147">
        <v>0</v>
      </c>
      <c r="AC70" s="147">
        <v>0</v>
      </c>
    </row>
    <row r="71" spans="1:29" ht="15.75">
      <c r="A71" s="157" t="s">
        <v>81</v>
      </c>
      <c r="B71" s="158"/>
      <c r="C71" s="60"/>
      <c r="D71" s="60"/>
      <c r="E71" s="147">
        <f>IF(Calcoli!$D$1&lt;6,$C$41,0)</f>
        <v>0</v>
      </c>
      <c r="F71" s="147">
        <f>IF(Calcoli!$D$1&lt;6,$C$41,0)</f>
        <v>0</v>
      </c>
      <c r="G71" s="147">
        <f>IF(Calcoli!$D$1&lt;6,$C$41,0)</f>
        <v>0</v>
      </c>
      <c r="H71" s="147">
        <f>IF(Calcoli!$D$1&lt;6,$C$41,0)</f>
        <v>0</v>
      </c>
      <c r="I71" s="147">
        <f>IF(Calcoli!$D$1&lt;6,$C$41,0)</f>
        <v>0</v>
      </c>
      <c r="J71" s="147">
        <f>IF(Calcoli!$D$1&lt;6,$C$41,0)</f>
        <v>0</v>
      </c>
      <c r="K71" s="147">
        <f>IF(Calcoli!$D$1&lt;6,$C$41,0)</f>
        <v>0</v>
      </c>
      <c r="L71" s="147">
        <f>IF(Calcoli!$D$1&lt;6,$C$41,0)</f>
        <v>0</v>
      </c>
      <c r="M71" s="147">
        <f>IF(Calcoli!$D$1&lt;6,$C$41,0)</f>
        <v>0</v>
      </c>
      <c r="N71" s="147">
        <f>IF(Calcoli!$D$1&lt;6,$C$41,0)</f>
        <v>0</v>
      </c>
      <c r="O71" s="147">
        <f>IF(Calcoli!$D$1&lt;6,$C$41,0)</f>
        <v>0</v>
      </c>
      <c r="P71" s="147">
        <f>IF(Calcoli!$D$1&lt;6,$C$41,0)</f>
        <v>0</v>
      </c>
      <c r="Q71" s="147">
        <f>IF(Calcoli!$D$1&lt;6,$C$41,0)</f>
        <v>0</v>
      </c>
      <c r="R71" s="147">
        <f>IF(Calcoli!$D$1&lt;6,$C$41,0)</f>
        <v>0</v>
      </c>
      <c r="S71" s="147">
        <f>IF(Calcoli!$D$1&lt;6,$C$41,0)</f>
        <v>0</v>
      </c>
      <c r="T71" s="147">
        <f>IF(Calcoli!$D$1&lt;6,$C$41,0)</f>
        <v>0</v>
      </c>
      <c r="U71" s="147">
        <f>IF(Calcoli!$D$1&lt;6,$C$41,0)</f>
        <v>0</v>
      </c>
      <c r="V71" s="147">
        <f>IF(Calcoli!$D$1&lt;6,$C$41,0)</f>
        <v>0</v>
      </c>
      <c r="W71" s="147">
        <f>IF(Calcoli!$D$1&lt;6,$C$41,0)</f>
        <v>0</v>
      </c>
      <c r="X71" s="147">
        <f>IF(Calcoli!$D$1&lt;6,$C$41,0)</f>
        <v>0</v>
      </c>
      <c r="Y71" s="147">
        <f>IF(Calcoli!$D$1&lt;6,$C$41,0)</f>
        <v>0</v>
      </c>
      <c r="Z71" s="147">
        <f>IF(Calcoli!$D$1&lt;6,$C$41,0)</f>
        <v>0</v>
      </c>
      <c r="AA71" s="147">
        <f>IF(Calcoli!$D$1&lt;6,$C$41,0)</f>
        <v>0</v>
      </c>
      <c r="AB71" s="147">
        <f>IF(Calcoli!$D$1&lt;6,$C$41,0)</f>
        <v>0</v>
      </c>
      <c r="AC71" s="147">
        <f>IF(Calcoli!$D$1&lt;6,$C$41,0)</f>
        <v>0</v>
      </c>
    </row>
    <row r="72" spans="1:29" ht="15.75">
      <c r="A72" s="157" t="s">
        <v>136</v>
      </c>
      <c r="B72" s="158"/>
      <c r="C72" s="60"/>
      <c r="D72" s="60"/>
      <c r="E72" s="147">
        <f>$C$42</f>
        <v>120</v>
      </c>
      <c r="F72" s="147">
        <v>0</v>
      </c>
      <c r="G72" s="147">
        <v>0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7">
        <v>0</v>
      </c>
      <c r="O72" s="147">
        <v>0</v>
      </c>
      <c r="P72" s="147">
        <v>0</v>
      </c>
      <c r="Q72" s="147">
        <v>0</v>
      </c>
      <c r="R72" s="147">
        <v>0</v>
      </c>
      <c r="S72" s="147">
        <v>0</v>
      </c>
      <c r="T72" s="147">
        <v>0</v>
      </c>
      <c r="U72" s="147">
        <v>0</v>
      </c>
      <c r="V72" s="147">
        <v>0</v>
      </c>
      <c r="W72" s="147">
        <v>0</v>
      </c>
      <c r="X72" s="147">
        <v>0</v>
      </c>
      <c r="Y72" s="147">
        <v>0</v>
      </c>
      <c r="Z72" s="147">
        <v>0</v>
      </c>
      <c r="AA72" s="147">
        <v>0</v>
      </c>
      <c r="AB72" s="147">
        <v>0</v>
      </c>
      <c r="AC72" s="147">
        <v>0</v>
      </c>
    </row>
    <row r="73" spans="1:29" ht="15.75">
      <c r="A73" s="157" t="s">
        <v>86</v>
      </c>
      <c r="B73" s="158"/>
      <c r="C73" s="60"/>
      <c r="D73" s="60"/>
      <c r="E73" s="147">
        <f>$C$43</f>
        <v>100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0</v>
      </c>
      <c r="O73" s="147">
        <v>0</v>
      </c>
      <c r="P73" s="147">
        <v>0</v>
      </c>
      <c r="Q73" s="147">
        <v>0</v>
      </c>
      <c r="R73" s="147">
        <v>0</v>
      </c>
      <c r="S73" s="147">
        <v>0</v>
      </c>
      <c r="T73" s="147">
        <v>0</v>
      </c>
      <c r="U73" s="147">
        <v>0</v>
      </c>
      <c r="V73" s="147">
        <v>0</v>
      </c>
      <c r="W73" s="147">
        <v>0</v>
      </c>
      <c r="X73" s="147">
        <v>0</v>
      </c>
      <c r="Y73" s="147">
        <v>0</v>
      </c>
      <c r="Z73" s="147">
        <v>0</v>
      </c>
      <c r="AA73" s="147">
        <v>0</v>
      </c>
      <c r="AB73" s="147">
        <v>0</v>
      </c>
      <c r="AC73" s="147">
        <v>0</v>
      </c>
    </row>
    <row r="74" spans="1:29" ht="16.5" thickBot="1">
      <c r="A74" s="157" t="s">
        <v>41</v>
      </c>
      <c r="B74" s="158"/>
      <c r="C74" s="60"/>
      <c r="D74" s="60"/>
      <c r="E74" s="147">
        <f t="shared" ref="E74:AC74" si="55">$C$44</f>
        <v>100</v>
      </c>
      <c r="F74" s="147">
        <f t="shared" si="55"/>
        <v>100</v>
      </c>
      <c r="G74" s="147">
        <f t="shared" si="55"/>
        <v>100</v>
      </c>
      <c r="H74" s="147">
        <f t="shared" si="55"/>
        <v>100</v>
      </c>
      <c r="I74" s="147">
        <f t="shared" si="55"/>
        <v>100</v>
      </c>
      <c r="J74" s="147">
        <f t="shared" si="55"/>
        <v>100</v>
      </c>
      <c r="K74" s="147">
        <f t="shared" si="55"/>
        <v>100</v>
      </c>
      <c r="L74" s="147">
        <f t="shared" si="55"/>
        <v>100</v>
      </c>
      <c r="M74" s="147">
        <f t="shared" si="55"/>
        <v>100</v>
      </c>
      <c r="N74" s="147">
        <f t="shared" si="55"/>
        <v>100</v>
      </c>
      <c r="O74" s="147">
        <f t="shared" si="55"/>
        <v>100</v>
      </c>
      <c r="P74" s="147">
        <f t="shared" si="55"/>
        <v>100</v>
      </c>
      <c r="Q74" s="147">
        <f t="shared" si="55"/>
        <v>100</v>
      </c>
      <c r="R74" s="147">
        <f t="shared" si="55"/>
        <v>100</v>
      </c>
      <c r="S74" s="147">
        <f t="shared" si="55"/>
        <v>100</v>
      </c>
      <c r="T74" s="147">
        <f t="shared" si="55"/>
        <v>100</v>
      </c>
      <c r="U74" s="147">
        <f t="shared" si="55"/>
        <v>100</v>
      </c>
      <c r="V74" s="147">
        <f t="shared" si="55"/>
        <v>100</v>
      </c>
      <c r="W74" s="147">
        <f t="shared" si="55"/>
        <v>100</v>
      </c>
      <c r="X74" s="147">
        <f t="shared" si="55"/>
        <v>100</v>
      </c>
      <c r="Y74" s="147">
        <f t="shared" si="55"/>
        <v>100</v>
      </c>
      <c r="Z74" s="147">
        <f t="shared" si="55"/>
        <v>100</v>
      </c>
      <c r="AA74" s="147">
        <f t="shared" si="55"/>
        <v>100</v>
      </c>
      <c r="AB74" s="147">
        <f t="shared" si="55"/>
        <v>100</v>
      </c>
      <c r="AC74" s="147">
        <f t="shared" si="55"/>
        <v>100</v>
      </c>
    </row>
    <row r="75" spans="1:29" ht="16.5" thickBot="1">
      <c r="A75" s="62" t="s">
        <v>150</v>
      </c>
      <c r="B75" s="60"/>
      <c r="C75" s="60"/>
      <c r="D75" s="60"/>
      <c r="E75" s="141">
        <f>SUM(E66:E74)</f>
        <v>470</v>
      </c>
      <c r="F75" s="142">
        <f>SUM(F66:F74)</f>
        <v>250</v>
      </c>
      <c r="G75" s="142">
        <f t="shared" ref="G75:X75" si="56">SUM(G66:G74)</f>
        <v>250</v>
      </c>
      <c r="H75" s="142">
        <f t="shared" si="56"/>
        <v>250</v>
      </c>
      <c r="I75" s="142">
        <f t="shared" si="56"/>
        <v>250</v>
      </c>
      <c r="J75" s="142">
        <f t="shared" si="56"/>
        <v>250</v>
      </c>
      <c r="K75" s="142">
        <f t="shared" si="56"/>
        <v>250</v>
      </c>
      <c r="L75" s="142">
        <f t="shared" si="56"/>
        <v>250</v>
      </c>
      <c r="M75" s="142">
        <f t="shared" si="56"/>
        <v>250</v>
      </c>
      <c r="N75" s="142">
        <f t="shared" si="56"/>
        <v>250</v>
      </c>
      <c r="O75" s="142">
        <f t="shared" si="56"/>
        <v>250</v>
      </c>
      <c r="P75" s="142">
        <f t="shared" si="56"/>
        <v>250</v>
      </c>
      <c r="Q75" s="142">
        <f t="shared" si="56"/>
        <v>250</v>
      </c>
      <c r="R75" s="142">
        <f t="shared" si="56"/>
        <v>250</v>
      </c>
      <c r="S75" s="142">
        <f t="shared" si="56"/>
        <v>250</v>
      </c>
      <c r="T75" s="142">
        <f t="shared" si="56"/>
        <v>250</v>
      </c>
      <c r="U75" s="142">
        <f t="shared" si="56"/>
        <v>250</v>
      </c>
      <c r="V75" s="142">
        <f t="shared" si="56"/>
        <v>250</v>
      </c>
      <c r="W75" s="142">
        <f t="shared" si="56"/>
        <v>250</v>
      </c>
      <c r="X75" s="143">
        <f t="shared" si="56"/>
        <v>250</v>
      </c>
      <c r="Y75" s="143">
        <f t="shared" ref="Y75:AC75" si="57">SUM(Y66:Y74)</f>
        <v>250</v>
      </c>
      <c r="Z75" s="143">
        <f t="shared" si="57"/>
        <v>250</v>
      </c>
      <c r="AA75" s="143">
        <f t="shared" si="57"/>
        <v>250</v>
      </c>
      <c r="AB75" s="143">
        <f t="shared" si="57"/>
        <v>250</v>
      </c>
      <c r="AC75" s="143">
        <f t="shared" si="57"/>
        <v>250</v>
      </c>
    </row>
    <row r="76" spans="1:29" ht="11.25" customHeight="1">
      <c r="A76" s="50"/>
      <c r="B76" s="60"/>
      <c r="C76" s="60"/>
      <c r="D76" s="60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</row>
    <row r="77" spans="1:29" ht="16.5" thickBot="1">
      <c r="A77" s="62" t="s">
        <v>96</v>
      </c>
      <c r="B77" s="60"/>
      <c r="C77" s="60"/>
      <c r="D77" s="60"/>
      <c r="E77" s="66">
        <v>1</v>
      </c>
      <c r="F77" s="66">
        <v>2</v>
      </c>
      <c r="G77" s="66">
        <v>3</v>
      </c>
      <c r="H77" s="66">
        <v>4</v>
      </c>
      <c r="I77" s="66">
        <v>5</v>
      </c>
      <c r="J77" s="66">
        <v>6</v>
      </c>
      <c r="K77" s="66">
        <v>7</v>
      </c>
      <c r="L77" s="66">
        <v>8</v>
      </c>
      <c r="M77" s="66">
        <v>9</v>
      </c>
      <c r="N77" s="66">
        <v>10</v>
      </c>
      <c r="O77" s="66">
        <v>11</v>
      </c>
      <c r="P77" s="66">
        <v>12</v>
      </c>
      <c r="Q77" s="66">
        <v>13</v>
      </c>
      <c r="R77" s="66">
        <v>14</v>
      </c>
      <c r="S77" s="66">
        <v>15</v>
      </c>
      <c r="T77" s="66">
        <v>16</v>
      </c>
      <c r="U77" s="66">
        <v>17</v>
      </c>
      <c r="V77" s="66">
        <v>18</v>
      </c>
      <c r="W77" s="66">
        <v>19</v>
      </c>
      <c r="X77" s="66">
        <v>20</v>
      </c>
      <c r="Y77" s="66">
        <v>21</v>
      </c>
      <c r="Z77" s="66">
        <v>22</v>
      </c>
      <c r="AA77" s="66">
        <v>23</v>
      </c>
      <c r="AB77" s="66">
        <v>24</v>
      </c>
      <c r="AC77" s="66">
        <v>25</v>
      </c>
    </row>
    <row r="78" spans="1:29" ht="16.5" thickBot="1">
      <c r="A78" s="62" t="s">
        <v>151</v>
      </c>
      <c r="B78" s="60"/>
      <c r="C78" s="60"/>
      <c r="D78" s="60"/>
      <c r="E78" s="67">
        <f>(-(C3*C37))+E62-E75</f>
        <v>-3920</v>
      </c>
      <c r="F78" s="67">
        <f t="shared" ref="F78:X78" si="58">E78+F62-F75</f>
        <v>-2314.1711999999998</v>
      </c>
      <c r="G78" s="67">
        <f t="shared" si="58"/>
        <v>-671.22582399999965</v>
      </c>
      <c r="H78" s="67">
        <f t="shared" si="58"/>
        <v>1009.5784595200005</v>
      </c>
      <c r="I78" s="67">
        <f t="shared" si="58"/>
        <v>2728.9988287104002</v>
      </c>
      <c r="J78" s="67">
        <f t="shared" si="58"/>
        <v>4487.8076052846081</v>
      </c>
      <c r="K78" s="67">
        <f t="shared" si="58"/>
        <v>6286.7925573903003</v>
      </c>
      <c r="L78" s="67">
        <f t="shared" si="58"/>
        <v>8126.7572085381071</v>
      </c>
      <c r="M78" s="67">
        <f t="shared" si="58"/>
        <v>10008.521152708869</v>
      </c>
      <c r="N78" s="67">
        <f t="shared" si="58"/>
        <v>11932.920375763046</v>
      </c>
      <c r="O78" s="67">
        <f t="shared" si="58"/>
        <v>13900.807583278307</v>
      </c>
      <c r="P78" s="67">
        <f t="shared" si="58"/>
        <v>15913.052534943874</v>
      </c>
      <c r="Q78" s="67">
        <f t="shared" si="58"/>
        <v>17970.542385642751</v>
      </c>
      <c r="R78" s="67">
        <f t="shared" si="58"/>
        <v>20074.182033355606</v>
      </c>
      <c r="S78" s="67">
        <f t="shared" si="58"/>
        <v>22224.894474022716</v>
      </c>
      <c r="T78" s="67">
        <f t="shared" si="58"/>
        <v>24423.621163503169</v>
      </c>
      <c r="U78" s="67">
        <f t="shared" si="58"/>
        <v>26671.32238677323</v>
      </c>
      <c r="V78" s="67">
        <f t="shared" si="58"/>
        <v>28968.977634508694</v>
      </c>
      <c r="W78" s="67">
        <f t="shared" si="58"/>
        <v>31317.585987198869</v>
      </c>
      <c r="X78" s="67">
        <f t="shared" si="58"/>
        <v>33718.166506942849</v>
      </c>
      <c r="Y78" s="67">
        <f t="shared" ref="Y78" si="59">X78+Y62-Y75</f>
        <v>36119.313434870703</v>
      </c>
      <c r="Z78" s="67">
        <f t="shared" ref="Z78" si="60">Y78+Z62-Z75</f>
        <v>38573.483301357119</v>
      </c>
      <c r="AA78" s="67">
        <f t="shared" ref="AA78" si="61">Z78+AA62-AA75</f>
        <v>41081.736565173262</v>
      </c>
      <c r="AB78" s="67">
        <f t="shared" ref="AB78" si="62">AA78+AB62-AB75</f>
        <v>43645.154894265725</v>
      </c>
      <c r="AC78" s="67">
        <f t="shared" ref="AC78" si="63">AB78+AC62-AC75</f>
        <v>46264.841589940035</v>
      </c>
    </row>
    <row r="79" spans="1:29" ht="15.75" thickBot="1"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</row>
    <row r="80" spans="1:29" ht="15.75" thickBot="1">
      <c r="A80" s="138"/>
      <c r="B80" s="68" t="s">
        <v>147</v>
      </c>
    </row>
    <row r="81" spans="1:2" ht="15.75" thickBot="1">
      <c r="A81" s="145"/>
      <c r="B81" s="68" t="s">
        <v>148</v>
      </c>
    </row>
    <row r="82" spans="1:2" ht="15.75" thickBot="1">
      <c r="A82" s="139"/>
      <c r="B82" s="68" t="s">
        <v>145</v>
      </c>
    </row>
    <row r="83" spans="1:2" ht="15.75" thickBot="1">
      <c r="A83" s="148"/>
      <c r="B83" s="68" t="s">
        <v>146</v>
      </c>
    </row>
    <row r="84" spans="1:2">
      <c r="A84" s="2"/>
      <c r="B84" s="140"/>
    </row>
  </sheetData>
  <sheetProtection formatCells="0" formatColumns="0" formatRows="0" insertColumns="0" insertRows="0" insertHyperlinks="0" deleteColumns="0" deleteRows="0" sort="0" autoFilter="0" pivotTables="0"/>
  <mergeCells count="13"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</mergeCells>
  <conditionalFormatting sqref="E78:X78">
    <cfRule type="cellIs" dxfId="54" priority="36" operator="greaterThan">
      <formula>0</formula>
    </cfRule>
    <cfRule type="cellIs" dxfId="53" priority="37" operator="lessThan">
      <formula>0</formula>
    </cfRule>
    <cfRule type="cellIs" dxfId="52" priority="53" operator="less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</conditionalFormatting>
  <conditionalFormatting sqref="E64:X68">
    <cfRule type="cellIs" dxfId="49" priority="38" operator="equal">
      <formula>0</formula>
    </cfRule>
    <cfRule type="cellIs" dxfId="48" priority="39" operator="equal">
      <formula>0</formula>
    </cfRule>
    <cfRule type="cellIs" dxfId="47" priority="40" operator="equal">
      <formula>0</formula>
    </cfRule>
    <cfRule type="cellIs" dxfId="46" priority="41" operator="equal">
      <formula>0</formula>
    </cfRule>
    <cfRule type="cellIs" dxfId="45" priority="42" operator="greaterThan">
      <formula>0</formula>
    </cfRule>
    <cfRule type="cellIs" dxfId="44" priority="43" operator="equal">
      <formula>0</formula>
    </cfRule>
    <cfRule type="cellIs" dxfId="43" priority="44" operator="greaterThan">
      <formula>0</formula>
    </cfRule>
    <cfRule type="cellIs" dxfId="42" priority="45" operator="greaterThan">
      <formula>0</formula>
    </cfRule>
    <cfRule type="cellIs" dxfId="41" priority="46" operator="equal">
      <formula>0</formula>
    </cfRule>
    <cfRule type="cellIs" dxfId="40" priority="47" operator="lessThan">
      <formula>0</formula>
    </cfRule>
    <cfRule type="cellIs" dxfId="39" priority="50" operator="lessThan">
      <formula>0</formula>
    </cfRule>
    <cfRule type="cellIs" dxfId="38" priority="51" operator="equal">
      <formula>0</formula>
    </cfRule>
    <cfRule type="cellIs" dxfId="37" priority="52" operator="greaterThan">
      <formula>0</formula>
    </cfRule>
  </conditionalFormatting>
  <conditionalFormatting sqref="E64:X64">
    <cfRule type="cellIs" dxfId="36" priority="48" operator="equal">
      <formula>0</formula>
    </cfRule>
    <cfRule type="cellIs" dxfId="35" priority="49" operator="lessThan">
      <formula>0</formula>
    </cfRule>
  </conditionalFormatting>
  <conditionalFormatting sqref="Y78:AC78">
    <cfRule type="cellIs" dxfId="34" priority="31" operator="greaterThan">
      <formula>0</formula>
    </cfRule>
    <cfRule type="cellIs" dxfId="33" priority="32" operator="lessThan">
      <formula>0</formula>
    </cfRule>
    <cfRule type="cellIs" dxfId="32" priority="33" operator="lessThan">
      <formula>0</formula>
    </cfRule>
    <cfRule type="cellIs" dxfId="31" priority="34" operator="greaterThan">
      <formula>0</formula>
    </cfRule>
    <cfRule type="cellIs" dxfId="30" priority="35" operator="greaterThan">
      <formula>0</formula>
    </cfRule>
  </conditionalFormatting>
  <conditionalFormatting sqref="Y64:AC68">
    <cfRule type="cellIs" dxfId="29" priority="15" operator="equal">
      <formula>0</formula>
    </cfRule>
    <cfRule type="cellIs" dxfId="28" priority="18" operator="equal">
      <formula>0</formula>
    </cfRule>
    <cfRule type="cellIs" dxfId="27" priority="19" operator="equal">
      <formula>0</formula>
    </cfRule>
    <cfRule type="cellIs" dxfId="26" priority="20" operator="equal">
      <formula>0</formula>
    </cfRule>
    <cfRule type="cellIs" dxfId="25" priority="21" operator="equal">
      <formula>0</formula>
    </cfRule>
    <cfRule type="cellIs" dxfId="24" priority="22" operator="greaterThan">
      <formula>0</formula>
    </cfRule>
    <cfRule type="cellIs" dxfId="23" priority="23" operator="equal">
      <formula>0</formula>
    </cfRule>
    <cfRule type="cellIs" dxfId="22" priority="24" operator="greaterThan">
      <formula>0</formula>
    </cfRule>
    <cfRule type="cellIs" dxfId="21" priority="25" operator="greaterThan">
      <formula>0</formula>
    </cfRule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lessThan">
      <formula>0</formula>
    </cfRule>
    <cfRule type="cellIs" dxfId="17" priority="29" operator="equal">
      <formula>0</formula>
    </cfRule>
    <cfRule type="cellIs" dxfId="16" priority="30" operator="greaterThan">
      <formula>0</formula>
    </cfRule>
  </conditionalFormatting>
  <conditionalFormatting sqref="Y64:AC64">
    <cfRule type="cellIs" dxfId="15" priority="16" operator="equal">
      <formula>0</formula>
    </cfRule>
    <cfRule type="cellIs" dxfId="14" priority="17" operator="lessThan">
      <formula>0</formula>
    </cfRule>
  </conditionalFormatting>
  <conditionalFormatting sqref="Y65">
    <cfRule type="cellIs" dxfId="13" priority="2" operator="equal">
      <formula>0</formula>
    </cfRule>
    <cfRule type="cellIs" dxfId="12" priority="3" operator="equal">
      <formula>0</formula>
    </cfRule>
    <cfRule type="cellIs" dxfId="11" priority="4" operator="equal">
      <formula>0</formula>
    </cfRule>
    <cfRule type="cellIs" dxfId="10" priority="5" operator="equal">
      <formula>0</formula>
    </cfRule>
    <cfRule type="cellIs" dxfId="9" priority="6" operator="greaterThan">
      <formula>0</formula>
    </cfRule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greaterThan">
      <formula>0</formula>
    </cfRule>
    <cfRule type="cellIs" dxfId="5" priority="10" operator="equal">
      <formula>0</formula>
    </cfRule>
    <cfRule type="cellIs" dxfId="4" priority="11" operator="lessThan">
      <formula>0</formula>
    </cfRule>
    <cfRule type="cellIs" dxfId="3" priority="12" operator="lessThan">
      <formula>0</formula>
    </cfRule>
    <cfRule type="cellIs" dxfId="2" priority="13" operator="equal">
      <formula>0</formula>
    </cfRule>
    <cfRule type="cellIs" dxfId="1" priority="14" operator="greaterThan">
      <formula>0</formula>
    </cfRule>
  </conditionalFormatting>
  <conditionalFormatting sqref="E57:AC61">
    <cfRule type="cellIs" dxfId="0" priority="1" operator="equal">
      <formula>0</formula>
    </cfRule>
  </conditionalFormatting>
  <hyperlinks>
    <hyperlink ref="F2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40:C41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230"/>
  <sheetViews>
    <sheetView zoomScaleNormal="100" workbookViewId="0">
      <selection activeCell="D1" sqref="D1:D5"/>
    </sheetView>
  </sheetViews>
  <sheetFormatPr defaultRowHeight="15"/>
  <cols>
    <col min="1" max="3" width="9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201">
        <v>6</v>
      </c>
      <c r="E1" s="2" t="s">
        <v>104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4.7'!C3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202"/>
      <c r="E2" s="2" t="s">
        <v>105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204" t="s">
        <v>165</v>
      </c>
      <c r="V2" s="204"/>
      <c r="W2" s="204"/>
      <c r="X2" s="204"/>
      <c r="Y2" s="204"/>
      <c r="Z2" s="204"/>
      <c r="AA2" s="204"/>
    </row>
    <row r="3" spans="4:27">
      <c r="D3" s="202"/>
      <c r="E3" s="2" t="s">
        <v>106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199"/>
      <c r="V3" s="199"/>
      <c r="W3" s="199"/>
      <c r="X3" s="199"/>
      <c r="Y3" s="199"/>
      <c r="Z3" s="199"/>
      <c r="AA3" s="199"/>
    </row>
    <row r="4" spans="4:27">
      <c r="D4" s="202"/>
      <c r="E4" s="2" t="s">
        <v>107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199"/>
      <c r="V4" s="199"/>
      <c r="W4" s="199"/>
      <c r="X4" s="199"/>
      <c r="Y4" s="199"/>
      <c r="Z4" s="199"/>
      <c r="AA4" s="199"/>
    </row>
    <row r="5" spans="4:27">
      <c r="D5" s="202"/>
      <c r="E5" s="2" t="s">
        <v>108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199"/>
      <c r="V5" s="199"/>
      <c r="W5" s="199"/>
      <c r="X5" s="199"/>
      <c r="Y5" s="199"/>
      <c r="Z5" s="199"/>
      <c r="AA5" s="199"/>
    </row>
    <row r="6" spans="4:27" ht="15.75" thickBot="1">
      <c r="E6" s="17" t="s">
        <v>162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199"/>
      <c r="V6" s="199"/>
      <c r="W6" s="199"/>
      <c r="X6" s="199"/>
      <c r="Y6" s="199"/>
      <c r="Z6" s="199"/>
      <c r="AA6" s="199"/>
    </row>
    <row r="7" spans="4:27">
      <c r="D7" s="201">
        <v>1</v>
      </c>
      <c r="E7" s="15" t="s">
        <v>0</v>
      </c>
      <c r="F7" s="16"/>
      <c r="H7" s="23"/>
      <c r="I7" s="15" t="s">
        <v>124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199"/>
      <c r="V7" s="199"/>
      <c r="W7" s="199"/>
      <c r="X7" s="199"/>
      <c r="Y7" s="199"/>
      <c r="Z7" s="199"/>
      <c r="AA7" s="199"/>
    </row>
    <row r="8" spans="4:27" ht="15.75" thickBot="1">
      <c r="D8" s="203"/>
      <c r="E8" s="19" t="s">
        <v>1</v>
      </c>
      <c r="F8" s="20"/>
      <c r="H8" s="22"/>
      <c r="I8" s="2" t="s">
        <v>125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199"/>
      <c r="V8" s="199"/>
      <c r="W8" s="199"/>
      <c r="X8" s="199"/>
      <c r="Y8" s="199"/>
      <c r="Z8" s="199"/>
      <c r="AA8" s="199"/>
    </row>
    <row r="9" spans="4:27" ht="15.75" thickBot="1">
      <c r="H9" s="29">
        <v>1</v>
      </c>
      <c r="I9" s="19" t="s">
        <v>126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199"/>
      <c r="V9" s="199"/>
      <c r="W9" s="199"/>
      <c r="X9" s="199"/>
      <c r="Y9" s="199"/>
      <c r="Z9" s="199"/>
      <c r="AA9" s="199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199"/>
      <c r="V10" s="199"/>
      <c r="W10" s="199"/>
      <c r="X10" s="199"/>
      <c r="Y10" s="199"/>
      <c r="Z10" s="199"/>
      <c r="AA10" s="199"/>
    </row>
    <row r="11" spans="4:27">
      <c r="D11" s="23"/>
      <c r="E11" s="15"/>
      <c r="F11" s="197" t="s">
        <v>4</v>
      </c>
      <c r="G11" s="198"/>
      <c r="H11" s="86"/>
      <c r="I11" s="86"/>
      <c r="J11" s="83"/>
      <c r="K11" s="15"/>
      <c r="L11" s="197" t="s">
        <v>5</v>
      </c>
      <c r="M11" s="198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199"/>
      <c r="V11" s="199"/>
      <c r="W11" s="199"/>
      <c r="X11" s="199"/>
      <c r="Y11" s="199"/>
      <c r="Z11" s="199"/>
      <c r="AA11" s="199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199"/>
      <c r="V12" s="199"/>
      <c r="W12" s="199"/>
      <c r="X12" s="199"/>
      <c r="Y12" s="199"/>
      <c r="Z12" s="199"/>
      <c r="AA12" s="199"/>
    </row>
    <row r="13" spans="4:27">
      <c r="D13" s="22" t="b">
        <f>AND($D$1=1,$D$7=1,'Simulazione 4.7'!$C$3&lt;=3,'Simulazione 4.7'!$C$3&gt;=1)</f>
        <v>0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0</v>
      </c>
      <c r="I13" s="86">
        <f t="shared" ref="I13:I18" si="4">IF(D13=TRUE,G13,0)</f>
        <v>0</v>
      </c>
      <c r="J13" s="22" t="b">
        <f>AND($D$1=1,$D$7=2,'Simulazione 4.7'!$C$3&lt;=3,'Simulazione 4.7'!$C$3&gt;=1)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199"/>
      <c r="V13" s="199"/>
      <c r="W13" s="199"/>
      <c r="X13" s="199"/>
      <c r="Y13" s="199"/>
      <c r="Z13" s="199"/>
      <c r="AA13" s="199"/>
    </row>
    <row r="14" spans="4:27">
      <c r="D14" s="22" t="b">
        <f>AND($D$1=1,$D$7=1,'Simulazione 4.7'!$C$3&lt;=20,'Simulazione 4.7'!$C$3&gt;3)</f>
        <v>0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0</v>
      </c>
      <c r="I14" s="86">
        <f t="shared" si="4"/>
        <v>0</v>
      </c>
      <c r="J14" s="22" t="b">
        <f>AND($D$1=1,$D$7=2,'Simulazione 4.7'!$C$3&lt;=20,'Simulazione 4.7'!$C$3&gt;3)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199"/>
      <c r="V14" s="199"/>
      <c r="W14" s="199"/>
      <c r="X14" s="199"/>
      <c r="Y14" s="199"/>
      <c r="Z14" s="199"/>
      <c r="AA14" s="199"/>
    </row>
    <row r="15" spans="4:27" ht="22.5" customHeight="1">
      <c r="D15" s="22" t="b">
        <f>AND($D$1=1,$D$7=1,'Simulazione 4.7'!$C$3&lt;=200,'Simulazione 4.7'!$C$3&gt;20)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4.7'!$C$3&lt;=200,'Simulazione 4.7'!$C$3&gt;20)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199"/>
      <c r="V15" s="199"/>
      <c r="W15" s="199"/>
      <c r="X15" s="199"/>
      <c r="Y15" s="199"/>
      <c r="Z15" s="199"/>
      <c r="AA15" s="199"/>
    </row>
    <row r="16" spans="4:27" ht="13.5" customHeight="1">
      <c r="D16" s="22" t="b">
        <f>AND($D$1=1,$D$7=1,'Simulazione 4.7'!$C$3&lt;=1000,'Simulazione 4.7'!$C$3&gt;200)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4.7'!$C$3&lt;=1000,'Simulazione 4.7'!$C$3&gt;200)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4.7'!$C$3&lt;=5000,'Simulazione 4.7'!$C$3&gt;1000)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4.7'!$C$3&lt;=5000,'Simulazione 4.7'!$C$3&gt;1000)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4.7'!$C$3&gt;=5000)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4.7'!$C$3&gt;=5000)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0</v>
      </c>
      <c r="I19" s="42">
        <f>IF($H$9=1,I13+I14+I15+I16+I17+I18,0)</f>
        <v>0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199"/>
      <c r="G21" s="199"/>
      <c r="H21" s="86"/>
      <c r="I21" s="86"/>
      <c r="K21" s="86"/>
      <c r="L21" s="199"/>
      <c r="M21" s="199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4.7'!$C$3&lt;=3,'Simulazione 4.7'!$C$3&gt;=1)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4.7'!$C$3&lt;=3,'Simulazione 4.7'!$C$3&gt;=1)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4.7'!$C$3&lt;=20,'Simulazione 4.7'!$C$3&gt;3)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4.7'!$C$3&lt;=20,'Simulazione 4.7'!$C$3&gt;3)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4.7'!$C$3&lt;=200,'Simulazione 4.7'!$C$3&gt;20)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4.7'!$C$3&lt;=200,'Simulazione 4.7'!$C$3&gt;20)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4.7'!$C$3&lt;=1000,'Simulazione 4.7'!$C$3&gt;200)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4.7'!$C$3&lt;=1000,'Simulazione 4.7'!$C$3&gt;200)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4.7'!$C$3&lt;=5000,'Simulazione 4.7'!$C$3&gt;1000)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4.7'!$C$3&lt;=5000,'Simulazione 4.7'!$C$3&gt;1000)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4.7'!$C$3&gt;=5000)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4.7'!$C$3&gt;=5000)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76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67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68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4.7'!$C$3&lt;=3,'Simulazione 4.7'!$C$3&gt;=1)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4.7'!$C$3&lt;=3,'Simulazione 4.7'!$C$3&gt;=1)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69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4.7'!$C$3&lt;=20,'Simulazione 4.7'!$C$3&gt;3)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4.7'!$C$3&lt;=20,'Simulazione 4.7'!$C$3&gt;3)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70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4.7'!$C$3&lt;=200,'Simulazione 4.7'!$C$3&gt;20)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4.7'!$C$3&lt;=200,'Simulazione 4.7'!$C$3&gt;20)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71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4.7'!$C$3&lt;=1000,'Simulazione 4.7'!$C$3&gt;200)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4.7'!$C$3&lt;=1000,'Simulazione 4.7'!$C$3&gt;200)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72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4.7'!$C$3&lt;=5000,'Simulazione 4.7'!$C$3&gt;1000)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4.7'!$C$3&lt;=5000,'Simulazione 4.7'!$C$3&gt;1000)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73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4.7'!$C$3&gt;=5000)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4.7'!$C$3&gt;=5000)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74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75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4.7'!$C$3&lt;=3,'Simulazione 4.7'!$C$3&gt;=1)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4.7'!$C$3&lt;=3,'Simulazione 4.7'!$C$3&gt;=1)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4.7'!$C$3&lt;=20,'Simulazione 4.7'!$C$3&gt;3)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4.7'!$C$3&lt;=20,'Simulazione 4.7'!$C$3&gt;3)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4.7'!$C$3&lt;=200,'Simulazione 4.7'!$C$3&gt;20)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4.7'!$C$3&lt;=200,'Simulazione 4.7'!$C$3&gt;20)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78</v>
      </c>
      <c r="S47" s="50"/>
    </row>
    <row r="48" spans="4:21" ht="15.75">
      <c r="D48" s="22" t="b">
        <f>AND($D$1=4,$D$7=1,'Simulazione 4.7'!$C$3&lt;=1000,'Simulazione 4.7'!$C$3&gt;200)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4.7'!$C$3&lt;=1000,'Simulazione 4.7'!$C$3&gt;200)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4.7'!$C$3&lt;=5000,'Simulazione 4.7'!$C$3&gt;1000)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4.7'!$C$3&lt;=5000,'Simulazione 4.7'!$C$3&gt;1000)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4.7'!$C$3&gt;=5000)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4.7'!$C$3&gt;=5000)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7" t="b">
        <f>AND(Q49=1,'Simulazione 4.7'!C31&lt;'Simulazione 4.7'!C30)</f>
        <v>0</v>
      </c>
      <c r="S52" s="6">
        <f>IF(Q52=TRUE,'Simulazione 4.7'!$C$31/100*Calcoli!$S$41,0)</f>
        <v>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7" t="b">
        <f>AND(Q49=1,'Simulazione 4.7'!C31&gt;'Simulazione 4.7'!C30)</f>
        <v>1</v>
      </c>
      <c r="S53" s="6">
        <f>IF(Q53=TRUE,'Simulazione 4.7'!$C$30/100*Calcoli!$S$41)</f>
        <v>1800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1800</v>
      </c>
    </row>
    <row r="57" spans="4:19" ht="15.75" thickBot="1"/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4.7'!$C$3&lt;=3,'Simulazione 4.7'!$C$3&gt;=1)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4.7'!$C$3&lt;=3,'Simulazione 4.7'!$C$3&gt;=1)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4.7'!$C$3&lt;=20,'Simulazione 4.7'!$C$3&gt;3)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4.7'!$C$3&lt;=20,'Simulazione 4.7'!$C$3&gt;3)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4.7'!$C$3&lt;=200,'Simulazione 4.7'!$C$3&gt;20)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4.7'!$C$3&lt;=200,'Simulazione 4.7'!$C$3&gt;20)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4.7'!$C$3&lt;=1000,'Simulazione 4.7'!$C$3&gt;200)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4.7'!$C$3&lt;=1000,'Simulazione 4.7'!$C$3&gt;200)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4.7'!$C$3&lt;=5000,'Simulazione 4.7'!$C$3&gt;1000)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4.7'!$C$3&lt;=5000,'Simulazione 4.7'!$C$3&gt;1000)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4.7'!$C$3&gt;=5000)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4.7'!$C$3&gt;=5000)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6">
        <f>IF($D$76&gt;1,'Simulazione 4.7'!E57+'Simulazione 4.7'!E58+'Simulazione 4.7'!E59+'Simulazione 4.7'!E60+'Simulazione 4.7'!E61-'Simulazione 4.7'!E64-'Simulazione 4.7'!E69-'Simulazione 4.7'!E70-'Simulazione 4.7'!E71,0)</f>
        <v>0</v>
      </c>
      <c r="E67" s="106">
        <f>IF($D$76&gt;1,'Simulazione 4.7'!F57+'Simulazione 4.7'!F58+'Simulazione 4.7'!F59+'Simulazione 4.7'!F60+'Simulazione 4.7'!F61-'Simulazione 4.7'!F64-'Simulazione 4.7'!F69-'Simulazione 4.7'!F70-'Simulazione 4.7'!F71,0)</f>
        <v>0</v>
      </c>
      <c r="F67" s="106">
        <f>IF($D$76&gt;1,'Simulazione 4.7'!G57+'Simulazione 4.7'!G58+'Simulazione 4.7'!G59+'Simulazione 4.7'!G60+'Simulazione 4.7'!G61-'Simulazione 4.7'!G64-'Simulazione 4.7'!G69-'Simulazione 4.7'!G70-'Simulazione 4.7'!G71,0)</f>
        <v>0</v>
      </c>
      <c r="G67" s="106">
        <f>IF($D$76&gt;1,'Simulazione 4.7'!H57+'Simulazione 4.7'!H58+'Simulazione 4.7'!H59+'Simulazione 4.7'!H60+'Simulazione 4.7'!H61-'Simulazione 4.7'!H64-'Simulazione 4.7'!H69-'Simulazione 4.7'!H70-'Simulazione 4.7'!H71,0)</f>
        <v>0</v>
      </c>
      <c r="H67" s="106">
        <f>IF($D$76&gt;1,'Simulazione 4.7'!I57+'Simulazione 4.7'!I58+'Simulazione 4.7'!I59+'Simulazione 4.7'!I60+'Simulazione 4.7'!I61-'Simulazione 4.7'!I64-'Simulazione 4.7'!I69-'Simulazione 4.7'!I70-'Simulazione 4.7'!I71,0)</f>
        <v>0</v>
      </c>
      <c r="I67" s="106">
        <f>IF($D$76&gt;1,'Simulazione 4.7'!J57+'Simulazione 4.7'!J58+'Simulazione 4.7'!J59+'Simulazione 4.7'!J60+'Simulazione 4.7'!J61-'Simulazione 4.7'!J64-'Simulazione 4.7'!J69-'Simulazione 4.7'!J70-'Simulazione 4.7'!J71,0)</f>
        <v>0</v>
      </c>
      <c r="J67" s="106">
        <f>IF($D$76&gt;1,'Simulazione 4.7'!K57+'Simulazione 4.7'!K58+'Simulazione 4.7'!K59+'Simulazione 4.7'!K60+'Simulazione 4.7'!K61-'Simulazione 4.7'!K64-'Simulazione 4.7'!K69-'Simulazione 4.7'!K70-'Simulazione 4.7'!K71,0)</f>
        <v>0</v>
      </c>
      <c r="K67" s="106">
        <f>IF($D$76&gt;1,'Simulazione 4.7'!L57+'Simulazione 4.7'!L58+'Simulazione 4.7'!L59+'Simulazione 4.7'!L60+'Simulazione 4.7'!L61-'Simulazione 4.7'!L64-'Simulazione 4.7'!L69-'Simulazione 4.7'!L70-'Simulazione 4.7'!L71,0)</f>
        <v>0</v>
      </c>
      <c r="L67" s="106">
        <f>IF($D$76&gt;1,'Simulazione 4.7'!M57+'Simulazione 4.7'!M58+'Simulazione 4.7'!M59+'Simulazione 4.7'!M60+'Simulazione 4.7'!M61-'Simulazione 4.7'!M64-'Simulazione 4.7'!M69-'Simulazione 4.7'!M70-'Simulazione 4.7'!M71,0)</f>
        <v>0</v>
      </c>
      <c r="M67" s="106">
        <f>IF($D$76&gt;1,'Simulazione 4.7'!N57+'Simulazione 4.7'!N58+'Simulazione 4.7'!N59+'Simulazione 4.7'!N60+'Simulazione 4.7'!N61-'Simulazione 4.7'!N64-'Simulazione 4.7'!N69-'Simulazione 4.7'!N70-'Simulazione 4.7'!N71,0)</f>
        <v>0</v>
      </c>
      <c r="N67" s="106">
        <f>IF($D$76&gt;1,'Simulazione 4.7'!O57+'Simulazione 4.7'!O58+'Simulazione 4.7'!O59+'Simulazione 4.7'!O60+'Simulazione 4.7'!O61-'Simulazione 4.7'!O64-'Simulazione 4.7'!O69-'Simulazione 4.7'!O70-'Simulazione 4.7'!O71,0)</f>
        <v>0</v>
      </c>
      <c r="O67" s="106">
        <f>IF($D$76&gt;1,'Simulazione 4.7'!P57+'Simulazione 4.7'!P58+'Simulazione 4.7'!P59+'Simulazione 4.7'!P60+'Simulazione 4.7'!P61-'Simulazione 4.7'!P64-'Simulazione 4.7'!P69-'Simulazione 4.7'!P70-'Simulazione 4.7'!P71,0)</f>
        <v>0</v>
      </c>
      <c r="P67" s="106">
        <f>IF($D$76&gt;1,'Simulazione 4.7'!Q57+'Simulazione 4.7'!Q58+'Simulazione 4.7'!Q59+'Simulazione 4.7'!Q60+'Simulazione 4.7'!Q61-'Simulazione 4.7'!Q64-'Simulazione 4.7'!Q69-'Simulazione 4.7'!Q70-'Simulazione 4.7'!Q71,0)</f>
        <v>0</v>
      </c>
      <c r="Q67" s="106">
        <f>IF($D$76&gt;1,'Simulazione 4.7'!R57+'Simulazione 4.7'!R58+'Simulazione 4.7'!R59+'Simulazione 4.7'!R60+'Simulazione 4.7'!R61-'Simulazione 4.7'!R64-'Simulazione 4.7'!R69-'Simulazione 4.7'!R70-'Simulazione 4.7'!R71,0)</f>
        <v>0</v>
      </c>
      <c r="R67" s="106">
        <f>IF($D$76&gt;1,'Simulazione 4.7'!S57+'Simulazione 4.7'!S58+'Simulazione 4.7'!S59+'Simulazione 4.7'!S60+'Simulazione 4.7'!S61-'Simulazione 4.7'!S64-'Simulazione 4.7'!S69-'Simulazione 4.7'!S70-'Simulazione 4.7'!S71,0)</f>
        <v>0</v>
      </c>
      <c r="S67" s="106">
        <f>IF($D$76&gt;1,'Simulazione 4.7'!T57+'Simulazione 4.7'!T58+'Simulazione 4.7'!T59+'Simulazione 4.7'!T60+'Simulazione 4.7'!T61-'Simulazione 4.7'!T64-'Simulazione 4.7'!T69-'Simulazione 4.7'!T70-'Simulazione 4.7'!T71,0)</f>
        <v>0</v>
      </c>
      <c r="T67" s="106">
        <f>IF($D$76&gt;1,'Simulazione 4.7'!U57+'Simulazione 4.7'!U58+'Simulazione 4.7'!U59+'Simulazione 4.7'!U60+'Simulazione 4.7'!U61-'Simulazione 4.7'!U64-'Simulazione 4.7'!U69-'Simulazione 4.7'!U70-'Simulazione 4.7'!U71,0)</f>
        <v>0</v>
      </c>
      <c r="U67" s="106">
        <f>IF($D$76&gt;1,'Simulazione 4.7'!V57+'Simulazione 4.7'!V58+'Simulazione 4.7'!V59+'Simulazione 4.7'!V60+'Simulazione 4.7'!V61-'Simulazione 4.7'!V64-'Simulazione 4.7'!V69-'Simulazione 4.7'!V70-'Simulazione 4.7'!V71,0)</f>
        <v>0</v>
      </c>
      <c r="V67" s="106">
        <f>IF($D$76&gt;1,'Simulazione 4.7'!W57+'Simulazione 4.7'!W58+'Simulazione 4.7'!W59+'Simulazione 4.7'!W60+'Simulazione 4.7'!W61-'Simulazione 4.7'!W64-'Simulazione 4.7'!W69-'Simulazione 4.7'!W70-'Simulazione 4.7'!W71,0)</f>
        <v>0</v>
      </c>
      <c r="W67" s="106">
        <f>IF($D$76&gt;1,'Simulazione 4.7'!X57+'Simulazione 4.7'!X58+'Simulazione 4.7'!X59+'Simulazione 4.7'!X60+'Simulazione 4.7'!X61-'Simulazione 4.7'!X64-'Simulazione 4.7'!X69-'Simulazione 4.7'!X70-'Simulazione 4.7'!X71,0)</f>
        <v>0</v>
      </c>
      <c r="X67" s="106">
        <f>IF($D$76&gt;1,'Simulazione 4.7'!Y57+'Simulazione 4.7'!Y58+'Simulazione 4.7'!Y59+'Simulazione 4.7'!Y60+'Simulazione 4.7'!Y61-'Simulazione 4.7'!Y64-'Simulazione 4.7'!Y69-'Simulazione 4.7'!Y70-'Simulazione 4.7'!Y71,0)</f>
        <v>0</v>
      </c>
      <c r="Y67" s="106">
        <f>IF($D$76&gt;1,'Simulazione 4.7'!Z57+'Simulazione 4.7'!Z58+'Simulazione 4.7'!Z59+'Simulazione 4.7'!Z60+'Simulazione 4.7'!Z61-'Simulazione 4.7'!Z64-'Simulazione 4.7'!Z69-'Simulazione 4.7'!Z70-'Simulazione 4.7'!Z71,0)</f>
        <v>0</v>
      </c>
      <c r="Z67" s="106">
        <f>IF($D$76&gt;1,'Simulazione 4.7'!AA57+'Simulazione 4.7'!AA58+'Simulazione 4.7'!AA59+'Simulazione 4.7'!AA60+'Simulazione 4.7'!AA61-'Simulazione 4.7'!AA64-'Simulazione 4.7'!AA69-'Simulazione 4.7'!AA70-'Simulazione 4.7'!AA71,0)</f>
        <v>0</v>
      </c>
      <c r="AA67" s="106">
        <f>IF($D$76&gt;1,'Simulazione 4.7'!AB57+'Simulazione 4.7'!AB58+'Simulazione 4.7'!AB59+'Simulazione 4.7'!AB60+'Simulazione 4.7'!AB61-'Simulazione 4.7'!AB64-'Simulazione 4.7'!AB69-'Simulazione 4.7'!AB70-'Simulazione 4.7'!AB71,0)</f>
        <v>0</v>
      </c>
      <c r="AB67" s="106">
        <f>IF($D$76&gt;1,'Simulazione 4.7'!AC57+'Simulazione 4.7'!AC58+'Simulazione 4.7'!AC59+'Simulazione 4.7'!AC60+'Simulazione 4.7'!AC61-'Simulazione 4.7'!AC64-'Simulazione 4.7'!AC69-'Simulazione 4.7'!AC70-'Simulazione 4.7'!AC71,0)</f>
        <v>0</v>
      </c>
    </row>
    <row r="68" spans="3:28">
      <c r="H68" s="68"/>
      <c r="I68" s="68"/>
      <c r="N68" s="68"/>
      <c r="O68" s="68"/>
    </row>
    <row r="70" spans="3:28">
      <c r="C70" s="6">
        <v>1</v>
      </c>
      <c r="D70" s="6" t="s">
        <v>95</v>
      </c>
    </row>
    <row r="71" spans="3:28">
      <c r="C71" s="6">
        <v>2</v>
      </c>
      <c r="D71" s="6" t="s">
        <v>119</v>
      </c>
      <c r="I71" s="68" t="s">
        <v>92</v>
      </c>
      <c r="L71" s="68" t="s">
        <v>135</v>
      </c>
      <c r="N71" s="6" t="s">
        <v>139</v>
      </c>
    </row>
    <row r="72" spans="3:28">
      <c r="C72" s="6">
        <v>3</v>
      </c>
      <c r="D72" s="6" t="s">
        <v>118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4.7'!$C$3&lt;=50)</f>
        <v>1</v>
      </c>
      <c r="O72" s="6">
        <v>120</v>
      </c>
      <c r="P72" s="6">
        <f>IF(N72=TRUE,O72,0)</f>
        <v>120</v>
      </c>
    </row>
    <row r="73" spans="3:28">
      <c r="C73" s="6">
        <v>4</v>
      </c>
      <c r="D73" s="6" t="s">
        <v>117</v>
      </c>
      <c r="I73" s="68" t="s">
        <v>132</v>
      </c>
      <c r="M73" s="6">
        <v>2</v>
      </c>
      <c r="N73" s="6" t="b">
        <f>AND('Simulazione 4.7'!$C$3&lt;=100,'Simulazione 4.7'!$C$3&gt;50)</f>
        <v>0</v>
      </c>
      <c r="O73" s="6">
        <v>240</v>
      </c>
      <c r="P73" s="6">
        <f>IF(N73=TRUE,O73,0)</f>
        <v>0</v>
      </c>
      <c r="Q73" s="115"/>
    </row>
    <row r="74" spans="3:28">
      <c r="C74" s="6">
        <v>5</v>
      </c>
      <c r="D74" s="6" t="s">
        <v>166</v>
      </c>
      <c r="I74" s="6" t="b">
        <f>OR(D76=3,D76=4,D76=5)</f>
        <v>0</v>
      </c>
      <c r="M74" s="6">
        <v>3</v>
      </c>
      <c r="N74" s="6" t="b">
        <f>AND('Simulazione 4.7'!$C$3&lt;=500,'Simulazione 4.7'!$C$3&gt;100)</f>
        <v>0</v>
      </c>
      <c r="O74" s="6">
        <v>500</v>
      </c>
      <c r="P74" s="6">
        <f>IF(N74=TRUE,O74,0)</f>
        <v>0</v>
      </c>
      <c r="Q74" s="115"/>
    </row>
    <row r="75" spans="3:28">
      <c r="C75" s="6">
        <v>6</v>
      </c>
      <c r="D75" s="6" t="s">
        <v>131</v>
      </c>
      <c r="I75" s="68" t="s">
        <v>133</v>
      </c>
      <c r="M75" s="6">
        <v>4</v>
      </c>
      <c r="N75" s="6" t="b">
        <f>AND('Simulazione 4.7'!$C$3&lt;=1000,'Simulazione 4.7'!$C$3&gt;500)</f>
        <v>0</v>
      </c>
      <c r="O75" s="6">
        <v>1500</v>
      </c>
      <c r="P75" s="6">
        <f>IF(N75=TRUE,O75,0)</f>
        <v>0</v>
      </c>
      <c r="Q75" s="117"/>
    </row>
    <row r="76" spans="3:28">
      <c r="D76" s="97">
        <v>1</v>
      </c>
      <c r="I76" s="6" t="b">
        <f>OR(D76=2,D76=3)</f>
        <v>0</v>
      </c>
      <c r="M76" s="6">
        <v>5</v>
      </c>
      <c r="N76" s="6" t="b">
        <f>AND('Simulazione 4.7'!$C$3&gt;1000)</f>
        <v>0</v>
      </c>
      <c r="O76" s="6">
        <v>2500</v>
      </c>
      <c r="P76" s="6">
        <f>IF(N76=TRUE,O76,0)</f>
        <v>0</v>
      </c>
    </row>
    <row r="77" spans="3:28">
      <c r="I77" s="68" t="s">
        <v>134</v>
      </c>
      <c r="O77" s="6">
        <f>'Simulazione 4.7'!C3-'Simulazione 4.7'!C4</f>
        <v>0</v>
      </c>
      <c r="P77" s="68">
        <f>SUM(P72:P76)</f>
        <v>120</v>
      </c>
    </row>
    <row r="78" spans="3:28">
      <c r="D78" s="6" t="s">
        <v>89</v>
      </c>
      <c r="F78" s="6">
        <f>'Simulazione 4.7'!C3*'Simulazione 4.7'!C37</f>
        <v>5250</v>
      </c>
      <c r="I78" s="6" t="b">
        <f>OR(D76=4,D76=5)</f>
        <v>0</v>
      </c>
    </row>
    <row r="79" spans="3:28">
      <c r="D79" s="6" t="s">
        <v>88</v>
      </c>
      <c r="F79" s="6">
        <f>IF(D76&gt;1,('Simulazione 4.7'!C37*'Simulazione 4.7'!C3)/100*'Simulazione 4.7'!$K$9,0)</f>
        <v>0</v>
      </c>
    </row>
    <row r="81" spans="3:28">
      <c r="D81" s="106">
        <f>$F$78</f>
        <v>5250</v>
      </c>
      <c r="E81" s="106">
        <f>$F$78</f>
        <v>5250</v>
      </c>
      <c r="F81" s="106">
        <f>$F$78</f>
        <v>5250</v>
      </c>
      <c r="G81" s="106">
        <f t="shared" ref="G81:AB81" si="35">$F$78</f>
        <v>5250</v>
      </c>
      <c r="H81" s="106">
        <f t="shared" si="35"/>
        <v>5250</v>
      </c>
      <c r="I81" s="106">
        <f t="shared" si="35"/>
        <v>5250</v>
      </c>
      <c r="J81" s="106">
        <f t="shared" si="35"/>
        <v>5250</v>
      </c>
      <c r="K81" s="106">
        <f t="shared" si="35"/>
        <v>5250</v>
      </c>
      <c r="L81" s="106">
        <f t="shared" si="35"/>
        <v>5250</v>
      </c>
      <c r="M81" s="106">
        <f t="shared" si="35"/>
        <v>5250</v>
      </c>
      <c r="N81" s="106">
        <f t="shared" si="35"/>
        <v>5250</v>
      </c>
      <c r="O81" s="106">
        <f t="shared" si="35"/>
        <v>5250</v>
      </c>
      <c r="P81" s="106">
        <f t="shared" si="35"/>
        <v>5250</v>
      </c>
      <c r="Q81" s="106">
        <f t="shared" si="35"/>
        <v>5250</v>
      </c>
      <c r="R81" s="106">
        <f t="shared" si="35"/>
        <v>5250</v>
      </c>
      <c r="S81" s="106">
        <f t="shared" si="35"/>
        <v>5250</v>
      </c>
      <c r="T81" s="106">
        <f t="shared" si="35"/>
        <v>5250</v>
      </c>
      <c r="U81" s="106">
        <f t="shared" si="35"/>
        <v>5250</v>
      </c>
      <c r="V81" s="106">
        <f t="shared" si="35"/>
        <v>5250</v>
      </c>
      <c r="W81" s="106">
        <f t="shared" si="35"/>
        <v>5250</v>
      </c>
      <c r="X81" s="106">
        <f t="shared" si="35"/>
        <v>5250</v>
      </c>
      <c r="Y81" s="106">
        <f t="shared" si="35"/>
        <v>5250</v>
      </c>
      <c r="Z81" s="106">
        <f t="shared" si="35"/>
        <v>5250</v>
      </c>
      <c r="AA81" s="106">
        <f t="shared" si="35"/>
        <v>5250</v>
      </c>
      <c r="AB81" s="106">
        <f t="shared" si="35"/>
        <v>5250</v>
      </c>
    </row>
    <row r="82" spans="3:28">
      <c r="C82" s="106"/>
      <c r="D82" s="106">
        <f>$F$78/100*'Simulazione 4.7'!$K$9/2</f>
        <v>236.25</v>
      </c>
      <c r="E82" s="106">
        <f>D82+$F$79</f>
        <v>236.25</v>
      </c>
      <c r="F82" s="106">
        <f t="shared" ref="F82:W82" si="36">E82+$F$79</f>
        <v>236.25</v>
      </c>
      <c r="G82" s="106">
        <f t="shared" si="36"/>
        <v>236.25</v>
      </c>
      <c r="H82" s="106">
        <f t="shared" si="36"/>
        <v>236.25</v>
      </c>
      <c r="I82" s="106">
        <f t="shared" si="36"/>
        <v>236.25</v>
      </c>
      <c r="J82" s="106">
        <f t="shared" si="36"/>
        <v>236.25</v>
      </c>
      <c r="K82" s="106">
        <f t="shared" si="36"/>
        <v>236.25</v>
      </c>
      <c r="L82" s="106">
        <f t="shared" si="36"/>
        <v>236.25</v>
      </c>
      <c r="M82" s="106">
        <f t="shared" si="36"/>
        <v>236.25</v>
      </c>
      <c r="N82" s="106">
        <f t="shared" si="36"/>
        <v>236.25</v>
      </c>
      <c r="O82" s="106">
        <f t="shared" si="36"/>
        <v>236.25</v>
      </c>
      <c r="P82" s="106">
        <f t="shared" si="36"/>
        <v>236.25</v>
      </c>
      <c r="Q82" s="106">
        <f t="shared" si="36"/>
        <v>236.25</v>
      </c>
      <c r="R82" s="106">
        <f t="shared" si="36"/>
        <v>236.25</v>
      </c>
      <c r="S82" s="106">
        <f t="shared" si="36"/>
        <v>236.25</v>
      </c>
      <c r="T82" s="106">
        <f t="shared" si="36"/>
        <v>236.25</v>
      </c>
      <c r="U82" s="106">
        <f t="shared" si="36"/>
        <v>236.25</v>
      </c>
      <c r="V82" s="106">
        <f t="shared" si="36"/>
        <v>236.25</v>
      </c>
      <c r="W82" s="106">
        <f t="shared" si="36"/>
        <v>236.25</v>
      </c>
      <c r="X82" s="106">
        <f t="shared" ref="X82" si="37">W82+$F$79</f>
        <v>236.25</v>
      </c>
      <c r="Y82" s="106">
        <f t="shared" ref="Y82" si="38">X82+$F$79</f>
        <v>236.25</v>
      </c>
      <c r="Z82" s="106">
        <f t="shared" ref="Z82" si="39">Y82+$F$79</f>
        <v>236.25</v>
      </c>
      <c r="AA82" s="106">
        <f t="shared" ref="AA82" si="40">Z82+$F$79</f>
        <v>236.25</v>
      </c>
      <c r="AB82" s="106">
        <f t="shared" ref="AB82" si="41">AA82+$F$79</f>
        <v>236.25</v>
      </c>
    </row>
    <row r="83" spans="3:28"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3:28"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3:28">
      <c r="D85" s="106">
        <f>IF(D82&lt;D81,1,0)</f>
        <v>1</v>
      </c>
      <c r="E85" s="106">
        <f t="shared" ref="E85:W85" si="42">IF(E82&lt;E81,1,0)</f>
        <v>1</v>
      </c>
      <c r="F85" s="106">
        <f t="shared" si="42"/>
        <v>1</v>
      </c>
      <c r="G85" s="106">
        <f t="shared" si="42"/>
        <v>1</v>
      </c>
      <c r="H85" s="106">
        <f t="shared" si="42"/>
        <v>1</v>
      </c>
      <c r="I85" s="106">
        <f t="shared" si="42"/>
        <v>1</v>
      </c>
      <c r="J85" s="106">
        <f t="shared" si="42"/>
        <v>1</v>
      </c>
      <c r="K85" s="106">
        <f t="shared" si="42"/>
        <v>1</v>
      </c>
      <c r="L85" s="106">
        <f t="shared" si="42"/>
        <v>1</v>
      </c>
      <c r="M85" s="106">
        <f t="shared" si="42"/>
        <v>1</v>
      </c>
      <c r="N85" s="106">
        <f t="shared" si="42"/>
        <v>1</v>
      </c>
      <c r="O85" s="106">
        <f t="shared" si="42"/>
        <v>1</v>
      </c>
      <c r="P85" s="106">
        <f t="shared" si="42"/>
        <v>1</v>
      </c>
      <c r="Q85" s="106">
        <f t="shared" si="42"/>
        <v>1</v>
      </c>
      <c r="R85" s="106">
        <f t="shared" si="42"/>
        <v>1</v>
      </c>
      <c r="S85" s="106">
        <f t="shared" si="42"/>
        <v>1</v>
      </c>
      <c r="T85" s="106">
        <f t="shared" si="42"/>
        <v>1</v>
      </c>
      <c r="U85" s="106">
        <f t="shared" si="42"/>
        <v>1</v>
      </c>
      <c r="V85" s="106">
        <f t="shared" si="42"/>
        <v>1</v>
      </c>
      <c r="W85" s="106">
        <f t="shared" si="42"/>
        <v>1</v>
      </c>
      <c r="X85" s="106">
        <f t="shared" ref="X85:AB85" si="43">IF(X82&lt;X81,1,0)</f>
        <v>1</v>
      </c>
      <c r="Y85" s="106">
        <f t="shared" si="43"/>
        <v>1</v>
      </c>
      <c r="Z85" s="106">
        <f t="shared" si="43"/>
        <v>1</v>
      </c>
      <c r="AA85" s="106">
        <f t="shared" si="43"/>
        <v>1</v>
      </c>
      <c r="AB85" s="106">
        <f t="shared" si="43"/>
        <v>1</v>
      </c>
    </row>
    <row r="86" spans="3:28">
      <c r="D86" s="106">
        <f>IF(Calcoli!$D$76&gt;1,Calcoli!$F$79/2,0)</f>
        <v>0</v>
      </c>
      <c r="E86" s="106">
        <f>IF(Calcoli!$D$76&gt;1,Calcoli!$F$79,0)</f>
        <v>0</v>
      </c>
      <c r="F86" s="106">
        <f>IF(Calcoli!$D$76&gt;1,Calcoli!$F$79,0)</f>
        <v>0</v>
      </c>
      <c r="G86" s="106">
        <f>IF(Calcoli!$D$76&gt;1,Calcoli!$F$79,0)</f>
        <v>0</v>
      </c>
      <c r="H86" s="106">
        <f>IF(Calcoli!$D$76&gt;1,Calcoli!$F$79,0)</f>
        <v>0</v>
      </c>
      <c r="I86" s="106">
        <f>IF(Calcoli!$D$76&gt;1,Calcoli!$F$79,0)</f>
        <v>0</v>
      </c>
      <c r="J86" s="106">
        <f>IF(Calcoli!$D$76&gt;1,Calcoli!$F$79,0)</f>
        <v>0</v>
      </c>
      <c r="K86" s="106">
        <f>IF(Calcoli!$D$76&gt;1,Calcoli!$F$79,0)</f>
        <v>0</v>
      </c>
      <c r="L86" s="106">
        <f>IF(Calcoli!$D$76&gt;1,Calcoli!$F$79,0)</f>
        <v>0</v>
      </c>
      <c r="M86" s="106">
        <f>IF(Calcoli!$D$76&gt;1,Calcoli!$F$79,0)</f>
        <v>0</v>
      </c>
      <c r="N86" s="106">
        <f>IF(Calcoli!$D$76&gt;1,Calcoli!$F$79,0)</f>
        <v>0</v>
      </c>
      <c r="O86" s="106">
        <f>IF(Calcoli!$D$76&gt;1,Calcoli!$F$79,0)</f>
        <v>0</v>
      </c>
      <c r="P86" s="106">
        <f>IF(Calcoli!$D$76&gt;1,Calcoli!$F$79,0)</f>
        <v>0</v>
      </c>
      <c r="Q86" s="106">
        <f>IF(Calcoli!$D$76&gt;1,Calcoli!$F$79,0)</f>
        <v>0</v>
      </c>
      <c r="R86" s="106">
        <f>IF(Calcoli!$D$76&gt;1,Calcoli!$F$79,0)</f>
        <v>0</v>
      </c>
      <c r="S86" s="106">
        <f>IF(Calcoli!$D$76&gt;1,Calcoli!$F$79,0)</f>
        <v>0</v>
      </c>
      <c r="T86" s="106">
        <f>IF(Calcoli!$D$76&gt;1,Calcoli!$F$79,0)</f>
        <v>0</v>
      </c>
      <c r="U86" s="106">
        <f>IF(Calcoli!$D$76&gt;1,Calcoli!$F$79,0)</f>
        <v>0</v>
      </c>
      <c r="V86" s="106">
        <f>IF(Calcoli!$D$76&gt;1,Calcoli!$F$79,0)</f>
        <v>0</v>
      </c>
      <c r="W86" s="106">
        <f>IF(Calcoli!$D$76&gt;1,Calcoli!$F$79,0)</f>
        <v>0</v>
      </c>
      <c r="X86" s="106">
        <f>IF(Calcoli!$D$76&gt;1,Calcoli!$F$79,0)</f>
        <v>0</v>
      </c>
      <c r="Y86" s="106">
        <f>IF(Calcoli!$D$76&gt;1,Calcoli!$F$79,0)</f>
        <v>0</v>
      </c>
      <c r="Z86" s="106">
        <f>IF(Calcoli!$D$76&gt;1,Calcoli!$F$79,0)</f>
        <v>0</v>
      </c>
      <c r="AA86" s="106">
        <f>IF(Calcoli!$D$76&gt;1,Calcoli!$F$79,0)</f>
        <v>0</v>
      </c>
      <c r="AB86" s="106">
        <f>IF(Calcoli!$D$76&gt;1,Calcoli!$F$79,0)</f>
        <v>0</v>
      </c>
    </row>
    <row r="87" spans="3:28" ht="10.5" customHeight="1"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7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3:28">
      <c r="D88" s="106">
        <f>IF(D85=1,D86,0)</f>
        <v>0</v>
      </c>
      <c r="E88" s="106">
        <f>IF(E85=1,E86,$F$78-(D88))</f>
        <v>0</v>
      </c>
      <c r="F88" s="106">
        <f>IF(F85=1,F86,$F$78-(E88+D88))</f>
        <v>0</v>
      </c>
      <c r="G88" s="106">
        <f>IF(G85=1,G86,$F$78-(F88+E88+D88))</f>
        <v>0</v>
      </c>
      <c r="H88" s="106">
        <f>IF(H85=1,H86,$F$78-(G88+F88+E88+D88))</f>
        <v>0</v>
      </c>
      <c r="I88" s="106">
        <f>IF(I85=1,I86,$F$78-(H88+G88+F88+E88+D88))</f>
        <v>0</v>
      </c>
      <c r="J88" s="106">
        <f>IF(J85=1,J86,$F$78-(I88+H88+G88+F88+E88+D88))</f>
        <v>0</v>
      </c>
      <c r="K88" s="106">
        <f>IF(K85=1,K86,$F$78-(J88+I88+H88+G88+F88+E88+D88))</f>
        <v>0</v>
      </c>
      <c r="L88" s="106">
        <f>IF(L85=1,L86,$F$78-(K88+J88+I88+H88+G88+F88+E88+D88))</f>
        <v>0</v>
      </c>
      <c r="M88" s="106">
        <f>IF(M85=1,M86,$F$78-(L88+K88+J88+I88+H88+G88+F88+E88+D88))</f>
        <v>0</v>
      </c>
      <c r="N88" s="106">
        <f>IF(N85=1,N86,$F$78-(M88+L88+K88+J88+I88+H88+G88+F88+E88+D88))</f>
        <v>0</v>
      </c>
      <c r="O88" s="106">
        <f>IF(O85=1,O86,$F$78-(N88+M88+L88+K88+J88+I88+H88+G88+F88+E88+D88))</f>
        <v>0</v>
      </c>
      <c r="P88" s="106">
        <f>IF(P85=1,P86,$F$78-(O88+N88+M88+L88+K88+J88+I88+H88+G88+F88+E88+D88))</f>
        <v>0</v>
      </c>
      <c r="Q88" s="106">
        <f>IF(Q85=1,Q86,$F$78-(P88+O88+N88+M88+L88+K88+J88+I88+H88+G88+F88+E88+D88))</f>
        <v>0</v>
      </c>
      <c r="R88" s="106">
        <f>IF(R85=1,R86,$F$78-(Q88+P88+O88+N88+M88+L88+K88+J88+I88+H88+G88+F88+E88+D88))</f>
        <v>0</v>
      </c>
      <c r="S88" s="106">
        <f>IF(S85=1,S86,$F$78-(R88+Q88+P88+O88+N88+M88+L88+K88+J88+I88+H88+G88+F88+E88+D88))</f>
        <v>0</v>
      </c>
      <c r="T88" s="106">
        <f>IF(T85=1,T86,$F$78-(S88+R88+Q88+P88+O88+N88+M88+L88+K88+J88+I88+H88+G88+F88+E88+D88))</f>
        <v>0</v>
      </c>
      <c r="U88" s="106">
        <f>IF(U85=1,U86,$F$78-(T88+S88+R88+Q88+P88+O88+N88+M88+L88+K88+J88+I88+H88+G88+F88+E88+D88))</f>
        <v>0</v>
      </c>
      <c r="V88" s="106">
        <f>IF(V85=1,V86,$F$78-(U88+T88+S88+R88+Q88+P88+O88+N88+M88+L88+K88+J88+I88+H88+G88+F88+E88+D88))</f>
        <v>0</v>
      </c>
      <c r="W88" s="106">
        <f>IF(W85=1,W86,$F$78-(V88+U88+T88+S88+R88+Q88+P88+O88+N88+M88+L88+K88+J88+I88+H88+G88+F88+E88+D88))</f>
        <v>0</v>
      </c>
      <c r="X88" s="106">
        <f>IF(X85=1,X86,$F$78-(W88+V88+U88+T88+S88+R88+Q88+P88+O88+N88+M88+L88+K88+J88+I88+H88+G88+F88+E88+D88))</f>
        <v>0</v>
      </c>
      <c r="Y88" s="106">
        <f>IF(Y85=1,Y86,$F$78-(X88+W88+V88+U88+T88+S88+R88+Q88+P88+O88+N88+M88+L88+K88+J88+I88+H88+G88+F88+E88+D88))</f>
        <v>0</v>
      </c>
      <c r="Z88" s="106">
        <f>IF(Z85=1,Z86,$F$78-(Y88+X88+W88+V88+U88+T88+S88+R88+Q88+P88+O88+N88+M88+L88+K88+J88+I88+H88+G88+F88+E88+D88))</f>
        <v>0</v>
      </c>
      <c r="AA88" s="106">
        <f>IF(AA85=1,AA86,$F$78-(Z88+Y88+X88+W88+V88+U88+T88+S88+R88+Q88+P88+O88+N88+M88+L88+K88+J88+I88+H88+G88+F88+E88+D88))</f>
        <v>0</v>
      </c>
      <c r="AB88" s="106">
        <f>IF(AB85=1,AB86,$F$78-(AA88+Z88+Y88+X88+W88+V88+U88+T88+S88+R88+Q88+P88+O88+N88+M88+L88+K88+J88+I88+H88+G88+F88+E88+D88))</f>
        <v>0</v>
      </c>
    </row>
    <row r="90" spans="3:28">
      <c r="N90" s="106"/>
      <c r="O90" s="106"/>
    </row>
    <row r="91" spans="3:28">
      <c r="F91" s="106"/>
    </row>
    <row r="92" spans="3:28">
      <c r="D92" s="106">
        <f>'Simulazione 4.7'!E65</f>
        <v>0</v>
      </c>
      <c r="E92" s="106">
        <f>'Simulazione 4.7'!F65</f>
        <v>0</v>
      </c>
      <c r="F92" s="106">
        <f>'Simulazione 4.7'!G65</f>
        <v>0</v>
      </c>
      <c r="G92" s="106">
        <f>'Simulazione 4.7'!H65</f>
        <v>0</v>
      </c>
      <c r="H92" s="106">
        <f>'Simulazione 4.7'!I65</f>
        <v>0</v>
      </c>
      <c r="I92" s="106">
        <f>'Simulazione 4.7'!J65</f>
        <v>0</v>
      </c>
      <c r="J92" s="106">
        <f>'Simulazione 4.7'!K65</f>
        <v>0</v>
      </c>
      <c r="K92" s="106">
        <f>'Simulazione 4.7'!L65</f>
        <v>0</v>
      </c>
      <c r="L92" s="106">
        <f>'Simulazione 4.7'!M65</f>
        <v>0</v>
      </c>
      <c r="M92" s="106">
        <f>'Simulazione 4.7'!N65</f>
        <v>0</v>
      </c>
      <c r="N92" s="106">
        <f>'Simulazione 4.7'!O65</f>
        <v>0</v>
      </c>
      <c r="O92" s="106">
        <f>'Simulazione 4.7'!P65</f>
        <v>0</v>
      </c>
      <c r="P92" s="106">
        <f>'Simulazione 4.7'!Q65</f>
        <v>0</v>
      </c>
      <c r="Q92" s="106">
        <f>'Simulazione 4.7'!R65</f>
        <v>0</v>
      </c>
      <c r="R92" s="106">
        <f>'Simulazione 4.7'!S65</f>
        <v>0</v>
      </c>
      <c r="S92" s="106">
        <f>'Simulazione 4.7'!T65</f>
        <v>0</v>
      </c>
      <c r="T92" s="106">
        <f>'Simulazione 4.7'!U65</f>
        <v>0</v>
      </c>
      <c r="U92" s="106">
        <f>'Simulazione 4.7'!V65</f>
        <v>0</v>
      </c>
      <c r="V92" s="106">
        <f>'Simulazione 4.7'!W65</f>
        <v>0</v>
      </c>
      <c r="W92" s="106">
        <f>'Simulazione 4.7'!X65</f>
        <v>0</v>
      </c>
      <c r="X92" s="106">
        <f>'Simulazione 4.7'!Y65</f>
        <v>0</v>
      </c>
      <c r="Y92" s="106">
        <f>'Simulazione 4.7'!Z65</f>
        <v>0</v>
      </c>
      <c r="Z92" s="106">
        <f>'Simulazione 4.7'!AA65</f>
        <v>0</v>
      </c>
      <c r="AA92" s="106">
        <f>'Simulazione 4.7'!AB65</f>
        <v>0</v>
      </c>
      <c r="AB92" s="106">
        <f>'Simulazione 4.7'!AC65</f>
        <v>0</v>
      </c>
    </row>
    <row r="93" spans="3:28"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3:28">
      <c r="C94" s="6" t="s">
        <v>110</v>
      </c>
      <c r="D94" s="107" t="b">
        <f>AND(D92&lt;15000)</f>
        <v>1</v>
      </c>
      <c r="E94" s="107" t="b">
        <f t="shared" ref="E94:W94" si="44">AND(E92&lt;15000)</f>
        <v>1</v>
      </c>
      <c r="F94" s="107" t="b">
        <f t="shared" si="44"/>
        <v>1</v>
      </c>
      <c r="G94" s="107" t="b">
        <f t="shared" si="44"/>
        <v>1</v>
      </c>
      <c r="H94" s="107" t="b">
        <f t="shared" si="44"/>
        <v>1</v>
      </c>
      <c r="I94" s="107" t="b">
        <f t="shared" si="44"/>
        <v>1</v>
      </c>
      <c r="J94" s="107" t="b">
        <f t="shared" si="44"/>
        <v>1</v>
      </c>
      <c r="K94" s="107" t="b">
        <f t="shared" si="44"/>
        <v>1</v>
      </c>
      <c r="L94" s="107" t="b">
        <f t="shared" si="44"/>
        <v>1</v>
      </c>
      <c r="M94" s="107" t="b">
        <f t="shared" si="44"/>
        <v>1</v>
      </c>
      <c r="N94" s="107" t="b">
        <f t="shared" si="44"/>
        <v>1</v>
      </c>
      <c r="O94" s="107" t="b">
        <f t="shared" si="44"/>
        <v>1</v>
      </c>
      <c r="P94" s="107" t="b">
        <f t="shared" si="44"/>
        <v>1</v>
      </c>
      <c r="Q94" s="107" t="b">
        <f t="shared" si="44"/>
        <v>1</v>
      </c>
      <c r="R94" s="107" t="b">
        <f t="shared" si="44"/>
        <v>1</v>
      </c>
      <c r="S94" s="107" t="b">
        <f t="shared" si="44"/>
        <v>1</v>
      </c>
      <c r="T94" s="107" t="b">
        <f t="shared" si="44"/>
        <v>1</v>
      </c>
      <c r="U94" s="107" t="b">
        <f t="shared" si="44"/>
        <v>1</v>
      </c>
      <c r="V94" s="107" t="b">
        <f t="shared" si="44"/>
        <v>1</v>
      </c>
      <c r="W94" s="107" t="b">
        <f t="shared" si="44"/>
        <v>1</v>
      </c>
      <c r="X94" s="107" t="b">
        <f t="shared" ref="X94:AB94" si="45">AND(X92&lt;15000)</f>
        <v>1</v>
      </c>
      <c r="Y94" s="107" t="b">
        <f t="shared" si="45"/>
        <v>1</v>
      </c>
      <c r="Z94" s="107" t="b">
        <f t="shared" si="45"/>
        <v>1</v>
      </c>
      <c r="AA94" s="107" t="b">
        <f t="shared" si="45"/>
        <v>1</v>
      </c>
      <c r="AB94" s="107" t="b">
        <f t="shared" si="45"/>
        <v>1</v>
      </c>
    </row>
    <row r="95" spans="3:28">
      <c r="C95" s="106"/>
      <c r="D95" s="107">
        <f>IF(D94=TRUE,D92/100*'Simulazione 4.7'!$L$13,0)</f>
        <v>0</v>
      </c>
      <c r="E95" s="107">
        <f>IF(E94=TRUE,E92/100*'Simulazione 4.7'!$L$13,0)</f>
        <v>0</v>
      </c>
      <c r="F95" s="107">
        <f>IF(F94=TRUE,F92/100*'Simulazione 4.7'!$L$13,0)</f>
        <v>0</v>
      </c>
      <c r="G95" s="107">
        <f>IF(G94=TRUE,G92/100*'Simulazione 4.7'!$L$13,0)</f>
        <v>0</v>
      </c>
      <c r="H95" s="107">
        <f>IF(H94=TRUE,H92/100*'Simulazione 4.7'!$L$13,0)</f>
        <v>0</v>
      </c>
      <c r="I95" s="107">
        <f>IF(I94=TRUE,I92/100*'Simulazione 4.7'!$L$13,0)</f>
        <v>0</v>
      </c>
      <c r="J95" s="107">
        <f>IF(J94=TRUE,J92/100*'Simulazione 4.7'!$L$13,0)</f>
        <v>0</v>
      </c>
      <c r="K95" s="107">
        <f>IF(K94=TRUE,K92/100*'Simulazione 4.7'!$L$13,0)</f>
        <v>0</v>
      </c>
      <c r="L95" s="107">
        <f>IF(L94=TRUE,L92/100*'Simulazione 4.7'!$L$13,0)</f>
        <v>0</v>
      </c>
      <c r="M95" s="107">
        <f>IF(M94=TRUE,M92/100*'Simulazione 4.7'!$L$13,0)</f>
        <v>0</v>
      </c>
      <c r="N95" s="107">
        <f>IF(N94=TRUE,N92/100*'Simulazione 4.7'!$L$13,0)</f>
        <v>0</v>
      </c>
      <c r="O95" s="107">
        <f>IF(O94=TRUE,O92/100*'Simulazione 4.7'!$L$13,0)</f>
        <v>0</v>
      </c>
      <c r="P95" s="107">
        <f>IF(P94=TRUE,P92/100*'Simulazione 4.7'!$L$13,0)</f>
        <v>0</v>
      </c>
      <c r="Q95" s="107">
        <f>IF(Q94=TRUE,Q92/100*'Simulazione 4.7'!$L$13,0)</f>
        <v>0</v>
      </c>
      <c r="R95" s="107">
        <f>IF(R94=TRUE,R92/100*'Simulazione 4.7'!$L$13,0)</f>
        <v>0</v>
      </c>
      <c r="S95" s="107">
        <f>IF(S94=TRUE,S92/100*'Simulazione 4.7'!$L$13,0)</f>
        <v>0</v>
      </c>
      <c r="T95" s="107">
        <f>IF(T94=TRUE,T92/100*'Simulazione 4.7'!$L$13,0)</f>
        <v>0</v>
      </c>
      <c r="U95" s="107">
        <f>IF(U94=TRUE,U92/100*'Simulazione 4.7'!$L$13,0)</f>
        <v>0</v>
      </c>
      <c r="V95" s="107">
        <f>IF(V94=TRUE,V92/100*'Simulazione 4.7'!$L$13,0)</f>
        <v>0</v>
      </c>
      <c r="W95" s="107">
        <f>IF(W94=TRUE,W92/100*'Simulazione 4.7'!$L$13,0)</f>
        <v>0</v>
      </c>
      <c r="X95" s="107">
        <f>IF(X94=TRUE,X92/100*'Simulazione 4.7'!$L$13,0)</f>
        <v>0</v>
      </c>
      <c r="Y95" s="107">
        <f>IF(Y94=TRUE,Y92/100*'Simulazione 4.7'!$L$13,0)</f>
        <v>0</v>
      </c>
      <c r="Z95" s="107">
        <f>IF(Z94=TRUE,Z92/100*'Simulazione 4.7'!$L$13,0)</f>
        <v>0</v>
      </c>
      <c r="AA95" s="107">
        <f>IF(AA94=TRUE,AA92/100*'Simulazione 4.7'!$L$13,0)</f>
        <v>0</v>
      </c>
      <c r="AB95" s="107">
        <f>IF(AB94=TRUE,AB92/100*'Simulazione 4.7'!$L$13,0)</f>
        <v>0</v>
      </c>
    </row>
    <row r="96" spans="3:28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3:28">
      <c r="C97" s="106" t="s">
        <v>109</v>
      </c>
      <c r="D97" s="107" t="b">
        <f>AND(D92&lt;28001,D92&gt;15000)</f>
        <v>0</v>
      </c>
      <c r="E97" s="107" t="b">
        <f t="shared" ref="E97:W97" si="46">AND(E92&lt;28001,E92&gt;15000)</f>
        <v>0</v>
      </c>
      <c r="F97" s="107" t="b">
        <f t="shared" si="46"/>
        <v>0</v>
      </c>
      <c r="G97" s="107" t="b">
        <f t="shared" si="46"/>
        <v>0</v>
      </c>
      <c r="H97" s="107" t="b">
        <f t="shared" si="46"/>
        <v>0</v>
      </c>
      <c r="I97" s="107" t="b">
        <f t="shared" si="46"/>
        <v>0</v>
      </c>
      <c r="J97" s="107" t="b">
        <f t="shared" si="46"/>
        <v>0</v>
      </c>
      <c r="K97" s="107" t="b">
        <f t="shared" si="46"/>
        <v>0</v>
      </c>
      <c r="L97" s="107" t="b">
        <f t="shared" si="46"/>
        <v>0</v>
      </c>
      <c r="M97" s="107" t="b">
        <f t="shared" si="46"/>
        <v>0</v>
      </c>
      <c r="N97" s="107" t="b">
        <f t="shared" si="46"/>
        <v>0</v>
      </c>
      <c r="O97" s="107" t="b">
        <f t="shared" si="46"/>
        <v>0</v>
      </c>
      <c r="P97" s="107" t="b">
        <f t="shared" si="46"/>
        <v>0</v>
      </c>
      <c r="Q97" s="107" t="b">
        <f t="shared" si="46"/>
        <v>0</v>
      </c>
      <c r="R97" s="107" t="b">
        <f t="shared" si="46"/>
        <v>0</v>
      </c>
      <c r="S97" s="107" t="b">
        <f t="shared" si="46"/>
        <v>0</v>
      </c>
      <c r="T97" s="107" t="b">
        <f t="shared" si="46"/>
        <v>0</v>
      </c>
      <c r="U97" s="107" t="b">
        <f t="shared" si="46"/>
        <v>0</v>
      </c>
      <c r="V97" s="107" t="b">
        <f t="shared" si="46"/>
        <v>0</v>
      </c>
      <c r="W97" s="107" t="b">
        <f t="shared" si="46"/>
        <v>0</v>
      </c>
      <c r="X97" s="107" t="b">
        <f t="shared" ref="X97:AB97" si="47">AND(X92&lt;28001,X92&gt;15000)</f>
        <v>0</v>
      </c>
      <c r="Y97" s="107" t="b">
        <f t="shared" si="47"/>
        <v>0</v>
      </c>
      <c r="Z97" s="107" t="b">
        <f t="shared" si="47"/>
        <v>0</v>
      </c>
      <c r="AA97" s="107" t="b">
        <f t="shared" si="47"/>
        <v>0</v>
      </c>
      <c r="AB97" s="107" t="b">
        <f t="shared" si="47"/>
        <v>0</v>
      </c>
    </row>
    <row r="98" spans="3:28">
      <c r="C98" s="106"/>
      <c r="D98" s="107">
        <f>IF(D97=TRUE,3450+((D92-15000)/100*'Simulazione 4.7'!$L$14),0)</f>
        <v>0</v>
      </c>
      <c r="E98" s="107">
        <f>IF(E97=TRUE,3450+((E92-15000)/100*'Simulazione 4.7'!$L$14),0)</f>
        <v>0</v>
      </c>
      <c r="F98" s="107">
        <f>IF(F97=TRUE,3450+((F92-15000)/100*'Simulazione 4.7'!$L$14),0)</f>
        <v>0</v>
      </c>
      <c r="G98" s="107">
        <f>IF(G97=TRUE,3450+((G92-15000)/100*'Simulazione 4.7'!$L$14),0)</f>
        <v>0</v>
      </c>
      <c r="H98" s="107">
        <f>IF(H97=TRUE,3450+((H92-15000)/100*'Simulazione 4.7'!$L$14),0)</f>
        <v>0</v>
      </c>
      <c r="I98" s="107">
        <f>IF(I97=TRUE,3450+((I92-15000)/100*'Simulazione 4.7'!$L$14),0)</f>
        <v>0</v>
      </c>
      <c r="J98" s="107">
        <f>IF(J97=TRUE,3450+((J92-15000)/100*'Simulazione 4.7'!$L$14),0)</f>
        <v>0</v>
      </c>
      <c r="K98" s="107">
        <f>IF(K97=TRUE,3450+((K92-15000)/100*'Simulazione 4.7'!$L$14),0)</f>
        <v>0</v>
      </c>
      <c r="L98" s="107">
        <f>IF(L97=TRUE,3450+((L92-15000)/100*'Simulazione 4.7'!$L$14),0)</f>
        <v>0</v>
      </c>
      <c r="M98" s="107">
        <f>IF(M97=TRUE,3450+((M92-15000)/100*'Simulazione 4.7'!$L$14),0)</f>
        <v>0</v>
      </c>
      <c r="N98" s="107">
        <f>IF(N97=TRUE,3450+((N92-15000)/100*'Simulazione 4.7'!$L$14),0)</f>
        <v>0</v>
      </c>
      <c r="O98" s="107">
        <f>IF(O97=TRUE,3450+((O92-15000)/100*'Simulazione 4.7'!$L$14),0)</f>
        <v>0</v>
      </c>
      <c r="P98" s="107">
        <f>IF(P97=TRUE,3450+((P92-15000)/100*'Simulazione 4.7'!$L$14),0)</f>
        <v>0</v>
      </c>
      <c r="Q98" s="107">
        <f>IF(Q97=TRUE,3450+((Q92-15000)/100*'Simulazione 4.7'!$L$14),0)</f>
        <v>0</v>
      </c>
      <c r="R98" s="107">
        <f>IF(R97=TRUE,3450+((R92-15000)/100*'Simulazione 4.7'!$L$14),0)</f>
        <v>0</v>
      </c>
      <c r="S98" s="107">
        <f>IF(S97=TRUE,3450+((S92-15000)/100*'Simulazione 4.7'!$L$14),0)</f>
        <v>0</v>
      </c>
      <c r="T98" s="107">
        <f>IF(T97=TRUE,3450+((T92-15000)/100*'Simulazione 4.7'!$L$14),0)</f>
        <v>0</v>
      </c>
      <c r="U98" s="107">
        <f>IF(U97=TRUE,3450+((U92-15000)/100*'Simulazione 4.7'!$L$14),0)</f>
        <v>0</v>
      </c>
      <c r="V98" s="107">
        <f>IF(V97=TRUE,3450+((V92-15000)/100*'Simulazione 4.7'!$L$14),0)</f>
        <v>0</v>
      </c>
      <c r="W98" s="107">
        <f>IF(W97=TRUE,3450+((W92-15000)/100*'Simulazione 4.7'!$L$14),0)</f>
        <v>0</v>
      </c>
      <c r="X98" s="107">
        <f>IF(X97=TRUE,3450+((X92-15000)/100*'Simulazione 4.7'!$L$14),0)</f>
        <v>0</v>
      </c>
      <c r="Y98" s="107">
        <f>IF(Y97=TRUE,3450+((Y92-15000)/100*'Simulazione 4.7'!$L$14),0)</f>
        <v>0</v>
      </c>
      <c r="Z98" s="107">
        <f>IF(Z97=TRUE,3450+((Z92-15000)/100*'Simulazione 4.7'!$L$14),0)</f>
        <v>0</v>
      </c>
      <c r="AA98" s="107">
        <f>IF(AA97=TRUE,3450+((AA92-15000)/100*'Simulazione 4.7'!$L$14),0)</f>
        <v>0</v>
      </c>
      <c r="AB98" s="107">
        <f>IF(AB97=TRUE,3450+((AB92-15000)/100*'Simulazione 4.7'!$L$14),0)</f>
        <v>0</v>
      </c>
    </row>
    <row r="99" spans="3:28"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</row>
    <row r="100" spans="3:28">
      <c r="C100" s="106" t="s">
        <v>111</v>
      </c>
      <c r="D100" s="107" t="b">
        <f>AND(D92&lt;55001,D92&gt;28000)</f>
        <v>0</v>
      </c>
      <c r="E100" s="107" t="b">
        <f t="shared" ref="E100:W100" si="48">AND(E92&lt;55001,E92&gt;28000)</f>
        <v>0</v>
      </c>
      <c r="F100" s="107" t="b">
        <f t="shared" si="48"/>
        <v>0</v>
      </c>
      <c r="G100" s="107" t="b">
        <f t="shared" si="48"/>
        <v>0</v>
      </c>
      <c r="H100" s="107" t="b">
        <f t="shared" si="48"/>
        <v>0</v>
      </c>
      <c r="I100" s="107" t="b">
        <f t="shared" si="48"/>
        <v>0</v>
      </c>
      <c r="J100" s="107" t="b">
        <f t="shared" si="48"/>
        <v>0</v>
      </c>
      <c r="K100" s="107" t="b">
        <f t="shared" si="48"/>
        <v>0</v>
      </c>
      <c r="L100" s="107" t="b">
        <f t="shared" si="48"/>
        <v>0</v>
      </c>
      <c r="M100" s="107" t="b">
        <f t="shared" si="48"/>
        <v>0</v>
      </c>
      <c r="N100" s="107" t="b">
        <f t="shared" si="48"/>
        <v>0</v>
      </c>
      <c r="O100" s="107" t="b">
        <f t="shared" si="48"/>
        <v>0</v>
      </c>
      <c r="P100" s="107" t="b">
        <f t="shared" si="48"/>
        <v>0</v>
      </c>
      <c r="Q100" s="107" t="b">
        <f t="shared" si="48"/>
        <v>0</v>
      </c>
      <c r="R100" s="107" t="b">
        <f t="shared" si="48"/>
        <v>0</v>
      </c>
      <c r="S100" s="107" t="b">
        <f t="shared" si="48"/>
        <v>0</v>
      </c>
      <c r="T100" s="107" t="b">
        <f t="shared" si="48"/>
        <v>0</v>
      </c>
      <c r="U100" s="107" t="b">
        <f t="shared" si="48"/>
        <v>0</v>
      </c>
      <c r="V100" s="107" t="b">
        <f t="shared" si="48"/>
        <v>0</v>
      </c>
      <c r="W100" s="107" t="b">
        <f t="shared" si="48"/>
        <v>0</v>
      </c>
      <c r="X100" s="107" t="b">
        <f t="shared" ref="X100:AB100" si="49">AND(X92&lt;55001,X92&gt;28000)</f>
        <v>0</v>
      </c>
      <c r="Y100" s="107" t="b">
        <f t="shared" si="49"/>
        <v>0</v>
      </c>
      <c r="Z100" s="107" t="b">
        <f t="shared" si="49"/>
        <v>0</v>
      </c>
      <c r="AA100" s="107" t="b">
        <f t="shared" si="49"/>
        <v>0</v>
      </c>
      <c r="AB100" s="107" t="b">
        <f t="shared" si="49"/>
        <v>0</v>
      </c>
    </row>
    <row r="101" spans="3:28">
      <c r="C101" s="106"/>
      <c r="D101" s="107">
        <f>IF(D100=TRUE,6960+((D92-28000)/100*'Simulazione 4.7'!$L$15),0)</f>
        <v>0</v>
      </c>
      <c r="E101" s="107">
        <f>IF(E100=TRUE,6960+((E92-28000)/100*'Simulazione 4.7'!$L$15),0)</f>
        <v>0</v>
      </c>
      <c r="F101" s="107">
        <f>IF(F100=TRUE,6960+((F92-28000)/100*'Simulazione 4.7'!$L$15),0)</f>
        <v>0</v>
      </c>
      <c r="G101" s="107">
        <f>IF(G100=TRUE,6960+((G92-28000)/100*'Simulazione 4.7'!$L$15),0)</f>
        <v>0</v>
      </c>
      <c r="H101" s="107">
        <f>IF(H100=TRUE,6960+((H92-28000)/100*'Simulazione 4.7'!$L$15),0)</f>
        <v>0</v>
      </c>
      <c r="I101" s="107">
        <f>IF(I100=TRUE,6960+((I92-28000)/100*'Simulazione 4.7'!$L$15),0)</f>
        <v>0</v>
      </c>
      <c r="J101" s="107">
        <f>IF(J100=TRUE,6960+((J92-28000)/100*'Simulazione 4.7'!$L$15),0)</f>
        <v>0</v>
      </c>
      <c r="K101" s="107">
        <f>IF(K100=TRUE,6960+((K92-28000)/100*'Simulazione 4.7'!$L$15),0)</f>
        <v>0</v>
      </c>
      <c r="L101" s="107">
        <f>IF(L100=TRUE,6960+((L92-28000)/100*'Simulazione 4.7'!$L$15),0)</f>
        <v>0</v>
      </c>
      <c r="M101" s="107">
        <f>IF(M100=TRUE,6960+((M92-28000)/100*'Simulazione 4.7'!$L$15),0)</f>
        <v>0</v>
      </c>
      <c r="N101" s="107">
        <f>IF(N100=TRUE,6960+((N92-28000)/100*'Simulazione 4.7'!$L$15),0)</f>
        <v>0</v>
      </c>
      <c r="O101" s="107">
        <f>IF(O100=TRUE,6960+((O92-28000)/100*'Simulazione 4.7'!$L$15),0)</f>
        <v>0</v>
      </c>
      <c r="P101" s="107">
        <f>IF(P100=TRUE,6960+((P92-28000)/100*'Simulazione 4.7'!$L$15),0)</f>
        <v>0</v>
      </c>
      <c r="Q101" s="107">
        <f>IF(Q100=TRUE,6960+((Q92-28000)/100*'Simulazione 4.7'!$L$15),0)</f>
        <v>0</v>
      </c>
      <c r="R101" s="107">
        <f>IF(R100=TRUE,6960+((R92-28000)/100*'Simulazione 4.7'!$L$15),0)</f>
        <v>0</v>
      </c>
      <c r="S101" s="107">
        <f>IF(S100=TRUE,6960+((S92-28000)/100*'Simulazione 4.7'!$L$15),0)</f>
        <v>0</v>
      </c>
      <c r="T101" s="107">
        <f>IF(T100=TRUE,6960+((T92-28000)/100*'Simulazione 4.7'!$L$15),0)</f>
        <v>0</v>
      </c>
      <c r="U101" s="107">
        <f>IF(U100=TRUE,6960+((U92-28000)/100*'Simulazione 4.7'!$L$15),0)</f>
        <v>0</v>
      </c>
      <c r="V101" s="107">
        <f>IF(V100=TRUE,6960+((V92-28000)/100*'Simulazione 4.7'!$L$15),0)</f>
        <v>0</v>
      </c>
      <c r="W101" s="107">
        <f>IF(W100=TRUE,6960+((W92-28000)/100*'Simulazione 4.7'!$L$15),0)</f>
        <v>0</v>
      </c>
      <c r="X101" s="107">
        <f>IF(X100=TRUE,6960+((X92-28000)/100*'Simulazione 4.7'!$L$15),0)</f>
        <v>0</v>
      </c>
      <c r="Y101" s="107">
        <f>IF(Y100=TRUE,6960+((Y92-28000)/100*'Simulazione 4.7'!$L$15),0)</f>
        <v>0</v>
      </c>
      <c r="Z101" s="107">
        <f>IF(Z100=TRUE,6960+((Z92-28000)/100*'Simulazione 4.7'!$L$15),0)</f>
        <v>0</v>
      </c>
      <c r="AA101" s="107">
        <f>IF(AA100=TRUE,6960+((AA92-28000)/100*'Simulazione 4.7'!$L$15),0)</f>
        <v>0</v>
      </c>
      <c r="AB101" s="107">
        <f>IF(AB100=TRUE,6960+((AB92-28000)/100*'Simulazione 4.7'!$L$15),0)</f>
        <v>0</v>
      </c>
    </row>
    <row r="102" spans="3:28"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</row>
    <row r="103" spans="3:28">
      <c r="C103" s="106" t="s">
        <v>112</v>
      </c>
      <c r="D103" s="107" t="b">
        <f>AND(D92&lt;75001,D92&gt;55000)</f>
        <v>0</v>
      </c>
      <c r="E103" s="107" t="b">
        <f t="shared" ref="E103:W103" si="50">AND(E92&lt;75001,E92&gt;55000)</f>
        <v>0</v>
      </c>
      <c r="F103" s="107" t="b">
        <f t="shared" si="50"/>
        <v>0</v>
      </c>
      <c r="G103" s="107" t="b">
        <f t="shared" si="50"/>
        <v>0</v>
      </c>
      <c r="H103" s="107" t="b">
        <f t="shared" si="50"/>
        <v>0</v>
      </c>
      <c r="I103" s="107" t="b">
        <f t="shared" si="50"/>
        <v>0</v>
      </c>
      <c r="J103" s="107" t="b">
        <f t="shared" si="50"/>
        <v>0</v>
      </c>
      <c r="K103" s="107" t="b">
        <f t="shared" si="50"/>
        <v>0</v>
      </c>
      <c r="L103" s="107" t="b">
        <f t="shared" si="50"/>
        <v>0</v>
      </c>
      <c r="M103" s="107" t="b">
        <f t="shared" si="50"/>
        <v>0</v>
      </c>
      <c r="N103" s="107" t="b">
        <f t="shared" si="50"/>
        <v>0</v>
      </c>
      <c r="O103" s="107" t="b">
        <f t="shared" si="50"/>
        <v>0</v>
      </c>
      <c r="P103" s="107" t="b">
        <f t="shared" si="50"/>
        <v>0</v>
      </c>
      <c r="Q103" s="107" t="b">
        <f t="shared" si="50"/>
        <v>0</v>
      </c>
      <c r="R103" s="107" t="b">
        <f t="shared" si="50"/>
        <v>0</v>
      </c>
      <c r="S103" s="107" t="b">
        <f t="shared" si="50"/>
        <v>0</v>
      </c>
      <c r="T103" s="107" t="b">
        <f t="shared" si="50"/>
        <v>0</v>
      </c>
      <c r="U103" s="107" t="b">
        <f t="shared" si="50"/>
        <v>0</v>
      </c>
      <c r="V103" s="107" t="b">
        <f t="shared" si="50"/>
        <v>0</v>
      </c>
      <c r="W103" s="107" t="b">
        <f t="shared" si="50"/>
        <v>0</v>
      </c>
      <c r="X103" s="107" t="b">
        <f t="shared" ref="X103:AB103" si="51">AND(X92&lt;75001,X92&gt;55000)</f>
        <v>0</v>
      </c>
      <c r="Y103" s="107" t="b">
        <f t="shared" si="51"/>
        <v>0</v>
      </c>
      <c r="Z103" s="107" t="b">
        <f t="shared" si="51"/>
        <v>0</v>
      </c>
      <c r="AA103" s="107" t="b">
        <f t="shared" si="51"/>
        <v>0</v>
      </c>
      <c r="AB103" s="107" t="b">
        <f t="shared" si="51"/>
        <v>0</v>
      </c>
    </row>
    <row r="104" spans="3:28">
      <c r="D104" s="107">
        <f>IF(D103=TRUE,17220+((D92-55000)/100*'Simulazione 4.7'!$L$16),0)</f>
        <v>0</v>
      </c>
      <c r="E104" s="107">
        <f>IF(E103=TRUE,17220+((E92-55000)/100*'Simulazione 4.7'!$L$16),0)</f>
        <v>0</v>
      </c>
      <c r="F104" s="107">
        <f>IF(F103=TRUE,17220+((F92-55000)/100*'Simulazione 4.7'!$L$16),0)</f>
        <v>0</v>
      </c>
      <c r="G104" s="107">
        <f>IF(G103=TRUE,17220+((G92-55000)/100*'Simulazione 4.7'!$L$16),0)</f>
        <v>0</v>
      </c>
      <c r="H104" s="107">
        <f>IF(H103=TRUE,17220+((H92-55000)/100*'Simulazione 4.7'!$L$16),0)</f>
        <v>0</v>
      </c>
      <c r="I104" s="107">
        <f>IF(I103=TRUE,17220+((I92-55000)/100*'Simulazione 4.7'!$L$16),0)</f>
        <v>0</v>
      </c>
      <c r="J104" s="107">
        <f>IF(J103=TRUE,17220+((J92-55000)/100*'Simulazione 4.7'!$L$16),0)</f>
        <v>0</v>
      </c>
      <c r="K104" s="107">
        <f>IF(K103=TRUE,17220+((K92-55000)/100*'Simulazione 4.7'!$L$16),0)</f>
        <v>0</v>
      </c>
      <c r="L104" s="107">
        <f>IF(L103=TRUE,17220+((L92-55000)/100*'Simulazione 4.7'!$L$16),0)</f>
        <v>0</v>
      </c>
      <c r="M104" s="107">
        <f>IF(M103=TRUE,17220+((M92-55000)/100*'Simulazione 4.7'!$L$16),0)</f>
        <v>0</v>
      </c>
      <c r="N104" s="107">
        <f>IF(N103=TRUE,17220+((N92-55000)/100*'Simulazione 4.7'!$L$16),0)</f>
        <v>0</v>
      </c>
      <c r="O104" s="107">
        <f>IF(O103=TRUE,17220+((O92-55000)/100*'Simulazione 4.7'!$L$16),0)</f>
        <v>0</v>
      </c>
      <c r="P104" s="107">
        <f>IF(P103=TRUE,17220+((P92-55000)/100*'Simulazione 4.7'!$L$16),0)</f>
        <v>0</v>
      </c>
      <c r="Q104" s="107">
        <f>IF(Q103=TRUE,17220+((Q92-55000)/100*'Simulazione 4.7'!$L$16),0)</f>
        <v>0</v>
      </c>
      <c r="R104" s="107">
        <f>IF(R103=TRUE,17220+((R92-55000)/100*'Simulazione 4.7'!$L$16),0)</f>
        <v>0</v>
      </c>
      <c r="S104" s="107">
        <f>IF(S103=TRUE,17220+((S92-55000)/100*'Simulazione 4.7'!$L$16),0)</f>
        <v>0</v>
      </c>
      <c r="T104" s="107">
        <f>IF(T103=TRUE,17220+((T92-55000)/100*'Simulazione 4.7'!$L$16),0)</f>
        <v>0</v>
      </c>
      <c r="U104" s="107">
        <f>IF(U103=TRUE,17220+((U92-55000)/100*'Simulazione 4.7'!$L$16),0)</f>
        <v>0</v>
      </c>
      <c r="V104" s="107">
        <f>IF(V103=TRUE,17220+((V92-55000)/100*'Simulazione 4.7'!$L$16),0)</f>
        <v>0</v>
      </c>
      <c r="W104" s="107">
        <f>IF(W103=TRUE,17220+((W92-55000)/100*'Simulazione 4.7'!$L$16),0)</f>
        <v>0</v>
      </c>
      <c r="X104" s="107">
        <f>IF(X103=TRUE,17220+((X92-55000)/100*'Simulazione 4.7'!$L$16),0)</f>
        <v>0</v>
      </c>
      <c r="Y104" s="107">
        <f>IF(Y103=TRUE,17220+((Y92-55000)/100*'Simulazione 4.7'!$L$16),0)</f>
        <v>0</v>
      </c>
      <c r="Z104" s="107">
        <f>IF(Z103=TRUE,17220+((Z92-55000)/100*'Simulazione 4.7'!$L$16),0)</f>
        <v>0</v>
      </c>
      <c r="AA104" s="107">
        <f>IF(AA103=TRUE,17220+((AA92-55000)/100*'Simulazione 4.7'!$L$16),0)</f>
        <v>0</v>
      </c>
      <c r="AB104" s="107">
        <f>IF(AB103=TRUE,17220+((AB92-55000)/100*'Simulazione 4.7'!$L$16),0)</f>
        <v>0</v>
      </c>
    </row>
    <row r="105" spans="3:28"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</row>
    <row r="106" spans="3:28">
      <c r="C106" s="106" t="s">
        <v>113</v>
      </c>
      <c r="D106" s="107" t="b">
        <f>AND(D92&gt;75000)</f>
        <v>0</v>
      </c>
      <c r="E106" s="107" t="b">
        <f t="shared" ref="E106:W106" si="52">AND(E92&gt;75000)</f>
        <v>0</v>
      </c>
      <c r="F106" s="107" t="b">
        <f t="shared" si="52"/>
        <v>0</v>
      </c>
      <c r="G106" s="107" t="b">
        <f t="shared" si="52"/>
        <v>0</v>
      </c>
      <c r="H106" s="107" t="b">
        <f t="shared" si="52"/>
        <v>0</v>
      </c>
      <c r="I106" s="107" t="b">
        <f t="shared" si="52"/>
        <v>0</v>
      </c>
      <c r="J106" s="107" t="b">
        <f t="shared" si="52"/>
        <v>0</v>
      </c>
      <c r="K106" s="107" t="b">
        <f t="shared" si="52"/>
        <v>0</v>
      </c>
      <c r="L106" s="107" t="b">
        <f t="shared" si="52"/>
        <v>0</v>
      </c>
      <c r="M106" s="107" t="b">
        <f t="shared" si="52"/>
        <v>0</v>
      </c>
      <c r="N106" s="107" t="b">
        <f t="shared" si="52"/>
        <v>0</v>
      </c>
      <c r="O106" s="107" t="b">
        <f t="shared" si="52"/>
        <v>0</v>
      </c>
      <c r="P106" s="107" t="b">
        <f t="shared" si="52"/>
        <v>0</v>
      </c>
      <c r="Q106" s="107" t="b">
        <f t="shared" si="52"/>
        <v>0</v>
      </c>
      <c r="R106" s="107" t="b">
        <f t="shared" si="52"/>
        <v>0</v>
      </c>
      <c r="S106" s="107" t="b">
        <f t="shared" si="52"/>
        <v>0</v>
      </c>
      <c r="T106" s="107" t="b">
        <f t="shared" si="52"/>
        <v>0</v>
      </c>
      <c r="U106" s="107" t="b">
        <f t="shared" si="52"/>
        <v>0</v>
      </c>
      <c r="V106" s="107" t="b">
        <f t="shared" si="52"/>
        <v>0</v>
      </c>
      <c r="W106" s="107" t="b">
        <f t="shared" si="52"/>
        <v>0</v>
      </c>
      <c r="X106" s="107" t="b">
        <f t="shared" ref="X106:AB106" si="53">AND(X92&gt;75000)</f>
        <v>0</v>
      </c>
      <c r="Y106" s="107" t="b">
        <f t="shared" si="53"/>
        <v>0</v>
      </c>
      <c r="Z106" s="107" t="b">
        <f t="shared" si="53"/>
        <v>0</v>
      </c>
      <c r="AA106" s="107" t="b">
        <f t="shared" si="53"/>
        <v>0</v>
      </c>
      <c r="AB106" s="107" t="b">
        <f t="shared" si="53"/>
        <v>0</v>
      </c>
    </row>
    <row r="107" spans="3:28">
      <c r="D107" s="107">
        <f>IF(D106=TRUE,25420+((D92-75000)/100*'Simulazione 4.7'!$L$17),0)</f>
        <v>0</v>
      </c>
      <c r="E107" s="107">
        <f>IF(E106=TRUE,25420+((E92-75000)/100*'Simulazione 4.7'!$L$17),0)</f>
        <v>0</v>
      </c>
      <c r="F107" s="107">
        <f>IF(F106=TRUE,25420+((F92-75000)/100*'Simulazione 4.7'!$L$17),0)</f>
        <v>0</v>
      </c>
      <c r="G107" s="107">
        <f>IF(G106=TRUE,25420+((G92-75000)/100*'Simulazione 4.7'!$L$17),0)</f>
        <v>0</v>
      </c>
      <c r="H107" s="107">
        <f>IF(H106=TRUE,25420+((H92-75000)/100*'Simulazione 4.7'!$L$17),0)</f>
        <v>0</v>
      </c>
      <c r="I107" s="107">
        <f>IF(I106=TRUE,25420+((I92-75000)/100*'Simulazione 4.7'!$L$17),0)</f>
        <v>0</v>
      </c>
      <c r="J107" s="107">
        <f>IF(J106=TRUE,25420+((J92-75000)/100*'Simulazione 4.7'!$L$17),0)</f>
        <v>0</v>
      </c>
      <c r="K107" s="107">
        <f>IF(K106=TRUE,25420+((K92-75000)/100*'Simulazione 4.7'!$L$17),0)</f>
        <v>0</v>
      </c>
      <c r="L107" s="107">
        <f>IF(L106=TRUE,25420+((L92-75000)/100*'Simulazione 4.7'!$L$17),0)</f>
        <v>0</v>
      </c>
      <c r="M107" s="107">
        <f>IF(M106=TRUE,25420+((M92-75000)/100*'Simulazione 4.7'!$L$17),0)</f>
        <v>0</v>
      </c>
      <c r="N107" s="107">
        <f>IF(N106=TRUE,25420+((N92-75000)/100*'Simulazione 4.7'!$L$17),0)</f>
        <v>0</v>
      </c>
      <c r="O107" s="107">
        <f>IF(O106=TRUE,25420+((O92-75000)/100*'Simulazione 4.7'!$L$17),0)</f>
        <v>0</v>
      </c>
      <c r="P107" s="107">
        <f>IF(P106=TRUE,25420+((P92-75000)/100*'Simulazione 4.7'!$L$17),0)</f>
        <v>0</v>
      </c>
      <c r="Q107" s="107">
        <f>IF(Q106=TRUE,25420+((Q92-75000)/100*'Simulazione 4.7'!$L$17),0)</f>
        <v>0</v>
      </c>
      <c r="R107" s="107">
        <f>IF(R106=TRUE,25420+((R92-75000)/100*'Simulazione 4.7'!$L$17),0)</f>
        <v>0</v>
      </c>
      <c r="S107" s="107">
        <f>IF(S106=TRUE,25420+((S92-75000)/100*'Simulazione 4.7'!$L$17),0)</f>
        <v>0</v>
      </c>
      <c r="T107" s="107">
        <f>IF(T106=TRUE,25420+((T92-75000)/100*'Simulazione 4.7'!$L$17),0)</f>
        <v>0</v>
      </c>
      <c r="U107" s="107">
        <f>IF(U106=TRUE,25420+((U92-75000)/100*'Simulazione 4.7'!$L$17),0)</f>
        <v>0</v>
      </c>
      <c r="V107" s="107">
        <f>IF(V106=TRUE,25420+((V92-75000)/100*'Simulazione 4.7'!$L$17),0)</f>
        <v>0</v>
      </c>
      <c r="W107" s="107">
        <f>IF(W106=TRUE,25420+((W92-75000)/100*'Simulazione 4.7'!$L$17),0)</f>
        <v>0</v>
      </c>
      <c r="X107" s="107">
        <f>IF(X106=TRUE,25420+((X92-75000)/100*'Simulazione 4.7'!$L$17),0)</f>
        <v>0</v>
      </c>
      <c r="Y107" s="107">
        <f>IF(Y106=TRUE,25420+((Y92-75000)/100*'Simulazione 4.7'!$L$17),0)</f>
        <v>0</v>
      </c>
      <c r="Z107" s="107">
        <f>IF(Z106=TRUE,25420+((Z92-75000)/100*'Simulazione 4.7'!$L$17),0)</f>
        <v>0</v>
      </c>
      <c r="AA107" s="107">
        <f>IF(AA106=TRUE,25420+((AA92-75000)/100*'Simulazione 4.7'!$L$17),0)</f>
        <v>0</v>
      </c>
      <c r="AB107" s="107">
        <f>IF(AB106=TRUE,25420+((AB92-75000)/100*'Simulazione 4.7'!$L$17),0)</f>
        <v>0</v>
      </c>
    </row>
    <row r="108" spans="3:28"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3:28"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</row>
    <row r="110" spans="3:28">
      <c r="D110" s="107">
        <f>D95+D98+D101+D104+D107</f>
        <v>0</v>
      </c>
      <c r="E110" s="107">
        <f t="shared" ref="E110:W110" si="54">E95+E98+E101+E104+E107</f>
        <v>0</v>
      </c>
      <c r="F110" s="107">
        <f t="shared" si="54"/>
        <v>0</v>
      </c>
      <c r="G110" s="107">
        <f t="shared" si="54"/>
        <v>0</v>
      </c>
      <c r="H110" s="107">
        <f t="shared" si="54"/>
        <v>0</v>
      </c>
      <c r="I110" s="107">
        <f t="shared" si="54"/>
        <v>0</v>
      </c>
      <c r="J110" s="107">
        <f t="shared" si="54"/>
        <v>0</v>
      </c>
      <c r="K110" s="107">
        <f t="shared" si="54"/>
        <v>0</v>
      </c>
      <c r="L110" s="107">
        <f t="shared" si="54"/>
        <v>0</v>
      </c>
      <c r="M110" s="107">
        <f t="shared" si="54"/>
        <v>0</v>
      </c>
      <c r="N110" s="107">
        <f t="shared" si="54"/>
        <v>0</v>
      </c>
      <c r="O110" s="107">
        <f t="shared" si="54"/>
        <v>0</v>
      </c>
      <c r="P110" s="107">
        <f t="shared" si="54"/>
        <v>0</v>
      </c>
      <c r="Q110" s="107">
        <f t="shared" si="54"/>
        <v>0</v>
      </c>
      <c r="R110" s="107">
        <f t="shared" si="54"/>
        <v>0</v>
      </c>
      <c r="S110" s="107">
        <f t="shared" si="54"/>
        <v>0</v>
      </c>
      <c r="T110" s="107">
        <f t="shared" si="54"/>
        <v>0</v>
      </c>
      <c r="U110" s="107">
        <f t="shared" si="54"/>
        <v>0</v>
      </c>
      <c r="V110" s="107">
        <f t="shared" si="54"/>
        <v>0</v>
      </c>
      <c r="W110" s="107">
        <f t="shared" si="54"/>
        <v>0</v>
      </c>
      <c r="X110" s="107">
        <f t="shared" ref="X110:AB110" si="55">X95+X98+X101+X104+X107</f>
        <v>0</v>
      </c>
      <c r="Y110" s="107">
        <f t="shared" si="55"/>
        <v>0</v>
      </c>
      <c r="Z110" s="107">
        <f t="shared" si="55"/>
        <v>0</v>
      </c>
      <c r="AA110" s="107">
        <f t="shared" si="55"/>
        <v>0</v>
      </c>
      <c r="AB110" s="107">
        <f t="shared" si="55"/>
        <v>0</v>
      </c>
    </row>
    <row r="111" spans="3:28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</row>
    <row r="114" spans="3:22">
      <c r="C114" s="107">
        <f>'Simulazione 4.7'!E78</f>
        <v>-3920</v>
      </c>
      <c r="D114" s="107">
        <f>'Simulazione 4.7'!F78</f>
        <v>-2314.1711999999998</v>
      </c>
      <c r="E114" s="107">
        <f>'Simulazione 4.7'!G78</f>
        <v>-671.22582399999965</v>
      </c>
      <c r="F114" s="107">
        <f>'Simulazione 4.7'!H78</f>
        <v>1009.5784595200005</v>
      </c>
      <c r="G114" s="107">
        <f>'Simulazione 4.7'!I78</f>
        <v>2728.9988287104002</v>
      </c>
      <c r="H114" s="107">
        <f>'Simulazione 4.7'!J78</f>
        <v>4487.8076052846081</v>
      </c>
      <c r="I114" s="107">
        <f>'Simulazione 4.7'!K78</f>
        <v>6286.7925573903003</v>
      </c>
      <c r="J114" s="107">
        <f>'Simulazione 4.7'!L78</f>
        <v>8126.7572085381071</v>
      </c>
      <c r="K114" s="107">
        <f>'Simulazione 4.7'!M78</f>
        <v>10008.521152708869</v>
      </c>
      <c r="L114" s="107">
        <f>'Simulazione 4.7'!N78</f>
        <v>11932.920375763046</v>
      </c>
      <c r="M114" s="107">
        <f>'Simulazione 4.7'!O78</f>
        <v>13900.807583278307</v>
      </c>
      <c r="N114" s="107">
        <f>'Simulazione 4.7'!P78</f>
        <v>15913.052534943874</v>
      </c>
      <c r="O114" s="107">
        <f>'Simulazione 4.7'!Q78</f>
        <v>17970.542385642751</v>
      </c>
      <c r="P114" s="107">
        <f>'Simulazione 4.7'!R78</f>
        <v>20074.182033355606</v>
      </c>
      <c r="Q114" s="107">
        <f>'Simulazione 4.7'!S78</f>
        <v>22224.894474022716</v>
      </c>
      <c r="R114" s="107">
        <f>'Simulazione 4.7'!T78</f>
        <v>24423.621163503169</v>
      </c>
      <c r="S114" s="107">
        <f>'Simulazione 4.7'!U78</f>
        <v>26671.32238677323</v>
      </c>
      <c r="T114" s="107">
        <f>'Simulazione 4.7'!V78</f>
        <v>28968.977634508694</v>
      </c>
      <c r="U114" s="107">
        <f>'Simulazione 4.7'!W78</f>
        <v>31317.585987198869</v>
      </c>
      <c r="V114" s="107">
        <f>'Simulazione 4.7'!X78</f>
        <v>33718.166506942849</v>
      </c>
    </row>
    <row r="117" spans="3:22">
      <c r="C117" s="6" t="s">
        <v>90</v>
      </c>
      <c r="D117" s="6" t="b">
        <f>AND(D76&gt;1,D76&lt;4)</f>
        <v>0</v>
      </c>
    </row>
    <row r="119" spans="3:22">
      <c r="D119" s="196" t="s">
        <v>128</v>
      </c>
      <c r="E119" s="196"/>
      <c r="F119" s="196"/>
    </row>
    <row r="120" spans="3:22" ht="15.75" thickBot="1"/>
    <row r="121" spans="3:22">
      <c r="D121" s="23"/>
      <c r="E121" s="15"/>
      <c r="F121" s="197" t="s">
        <v>4</v>
      </c>
      <c r="G121" s="198"/>
      <c r="H121" s="117"/>
      <c r="I121" s="117"/>
      <c r="J121" s="118"/>
      <c r="K121" s="15"/>
      <c r="L121" s="197" t="s">
        <v>5</v>
      </c>
      <c r="M121" s="198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7"/>
      <c r="I122" s="117"/>
      <c r="J122" s="119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4.7'!$C$3&lt;=3,'Simulazione 4.7'!$C$3&gt;=1)</f>
        <v>0</v>
      </c>
      <c r="E123" s="28" t="s">
        <v>6</v>
      </c>
      <c r="F123" s="5">
        <v>208</v>
      </c>
      <c r="G123" s="26">
        <f t="shared" ref="G123:G128" si="56">F123-82</f>
        <v>126</v>
      </c>
      <c r="H123" s="117">
        <f t="shared" ref="H123:H128" si="57">IF(D123=TRUE,(F123+L123)/2,0)</f>
        <v>0</v>
      </c>
      <c r="I123" s="117">
        <f t="shared" ref="I123:I128" si="58">IF(D123=TRUE,(G123+M123)/2,0)</f>
        <v>0</v>
      </c>
      <c r="J123" s="22"/>
      <c r="K123" s="28" t="s">
        <v>6</v>
      </c>
      <c r="L123" s="5">
        <v>201</v>
      </c>
      <c r="M123" s="26">
        <f t="shared" ref="M123:M128" si="59">L123-82</f>
        <v>119</v>
      </c>
      <c r="N123" s="5"/>
      <c r="O123" s="5"/>
    </row>
    <row r="124" spans="3:22">
      <c r="D124" s="22" t="b">
        <f>AND($D$1=1,$D$7=1,'Simulazione 4.7'!$C$3&lt;=20,'Simulazione 4.7'!$C$3&gt;3)</f>
        <v>0</v>
      </c>
      <c r="E124" s="28" t="s">
        <v>7</v>
      </c>
      <c r="F124" s="5">
        <v>196</v>
      </c>
      <c r="G124" s="26">
        <f t="shared" si="56"/>
        <v>114</v>
      </c>
      <c r="H124" s="117">
        <f t="shared" si="57"/>
        <v>0</v>
      </c>
      <c r="I124" s="117">
        <f t="shared" si="58"/>
        <v>0</v>
      </c>
      <c r="J124" s="22"/>
      <c r="K124" s="28" t="s">
        <v>7</v>
      </c>
      <c r="L124" s="5">
        <v>189</v>
      </c>
      <c r="M124" s="26">
        <f t="shared" si="59"/>
        <v>107</v>
      </c>
      <c r="N124" s="5"/>
      <c r="O124" s="5"/>
    </row>
    <row r="125" spans="3:22">
      <c r="D125" s="22" t="b">
        <f>AND($D$1=1,$D$7=1,'Simulazione 4.7'!$C$3&lt;=200,'Simulazione 4.7'!$C$3&gt;20)</f>
        <v>0</v>
      </c>
      <c r="E125" s="28" t="s">
        <v>8</v>
      </c>
      <c r="F125" s="5">
        <v>175</v>
      </c>
      <c r="G125" s="26">
        <f t="shared" si="56"/>
        <v>93</v>
      </c>
      <c r="H125" s="117">
        <f t="shared" si="57"/>
        <v>0</v>
      </c>
      <c r="I125" s="117">
        <f t="shared" si="58"/>
        <v>0</v>
      </c>
      <c r="J125" s="22"/>
      <c r="K125" s="28" t="s">
        <v>8</v>
      </c>
      <c r="L125" s="5">
        <v>168</v>
      </c>
      <c r="M125" s="26">
        <f t="shared" si="59"/>
        <v>86</v>
      </c>
      <c r="N125" s="5"/>
      <c r="O125" s="5"/>
    </row>
    <row r="126" spans="3:22">
      <c r="D126" s="22" t="b">
        <f>AND($D$1=1,$D$7=1,'Simulazione 4.7'!$C$3&lt;=1000,'Simulazione 4.7'!$C$3&gt;200)</f>
        <v>0</v>
      </c>
      <c r="E126" s="28" t="s">
        <v>9</v>
      </c>
      <c r="F126" s="5">
        <v>142</v>
      </c>
      <c r="G126" s="26">
        <f t="shared" si="56"/>
        <v>60</v>
      </c>
      <c r="H126" s="117">
        <f t="shared" si="57"/>
        <v>0</v>
      </c>
      <c r="I126" s="117">
        <f t="shared" si="58"/>
        <v>0</v>
      </c>
      <c r="J126" s="22"/>
      <c r="K126" s="28" t="s">
        <v>9</v>
      </c>
      <c r="L126" s="5">
        <v>135</v>
      </c>
      <c r="M126" s="26">
        <f t="shared" si="59"/>
        <v>53</v>
      </c>
      <c r="N126" s="5"/>
      <c r="O126" s="5"/>
    </row>
    <row r="127" spans="3:22">
      <c r="D127" s="22" t="b">
        <f>AND($D$1=1,$D$7=1,'Simulazione 4.7'!$C$3&lt;=5000,'Simulazione 4.7'!$C$3&gt;1000)</f>
        <v>0</v>
      </c>
      <c r="E127" s="28" t="s">
        <v>10</v>
      </c>
      <c r="F127" s="5">
        <v>126</v>
      </c>
      <c r="G127" s="26">
        <f t="shared" si="56"/>
        <v>44</v>
      </c>
      <c r="H127" s="117">
        <f t="shared" si="57"/>
        <v>0</v>
      </c>
      <c r="I127" s="117">
        <f t="shared" si="58"/>
        <v>0</v>
      </c>
      <c r="J127" s="22"/>
      <c r="K127" s="28" t="s">
        <v>10</v>
      </c>
      <c r="L127" s="5">
        <v>120</v>
      </c>
      <c r="M127" s="26">
        <f t="shared" si="59"/>
        <v>38</v>
      </c>
      <c r="N127" s="5"/>
      <c r="O127" s="5"/>
    </row>
    <row r="128" spans="3:22" ht="15.75" thickBot="1">
      <c r="D128" s="29" t="b">
        <f>AND($D$1=1,$D$7=1,'Simulazione 4.7'!$C$3&gt;=5000)</f>
        <v>0</v>
      </c>
      <c r="E128" s="35" t="s">
        <v>11</v>
      </c>
      <c r="F128" s="36">
        <v>119</v>
      </c>
      <c r="G128" s="37">
        <f t="shared" si="56"/>
        <v>37</v>
      </c>
      <c r="H128" s="117">
        <f t="shared" si="57"/>
        <v>0</v>
      </c>
      <c r="I128" s="117">
        <f t="shared" si="58"/>
        <v>0</v>
      </c>
      <c r="J128" s="29"/>
      <c r="K128" s="35" t="s">
        <v>11</v>
      </c>
      <c r="L128" s="36">
        <v>113</v>
      </c>
      <c r="M128" s="37">
        <f t="shared" si="59"/>
        <v>31</v>
      </c>
      <c r="N128" s="5"/>
      <c r="O128" s="5"/>
    </row>
    <row r="129" spans="4:15" ht="15.75" thickBot="1">
      <c r="F129" s="117"/>
      <c r="G129" s="117"/>
      <c r="H129" s="42">
        <f>IF($H$9=3,H123+H124+H125+H126+H127+H128,0)</f>
        <v>0</v>
      </c>
      <c r="I129" s="42">
        <f>IF($H$9=3,I123+I124+I125+I126+I127+I128,0)</f>
        <v>0</v>
      </c>
      <c r="K129" s="117"/>
      <c r="L129" s="117"/>
      <c r="M129" s="117"/>
      <c r="N129" s="5"/>
      <c r="O129" s="5"/>
    </row>
    <row r="130" spans="4:15">
      <c r="F130" s="117"/>
      <c r="G130" s="117"/>
      <c r="H130" s="5"/>
      <c r="I130" s="5"/>
      <c r="K130" s="117"/>
      <c r="L130" s="117"/>
      <c r="M130" s="117"/>
      <c r="N130" s="5"/>
      <c r="O130" s="5"/>
    </row>
    <row r="131" spans="4:15" ht="15.75" thickBot="1">
      <c r="F131" s="199"/>
      <c r="G131" s="199"/>
      <c r="H131" s="117"/>
      <c r="I131" s="117"/>
      <c r="K131" s="117"/>
      <c r="L131" s="199"/>
      <c r="M131" s="199"/>
      <c r="N131" s="5"/>
      <c r="O131" s="5"/>
    </row>
    <row r="132" spans="4:15" ht="15.75">
      <c r="D132" s="87"/>
      <c r="E132" s="88"/>
      <c r="F132" s="89" t="s">
        <v>2</v>
      </c>
      <c r="G132" s="90" t="s">
        <v>3</v>
      </c>
      <c r="H132" s="49"/>
      <c r="I132" s="49"/>
      <c r="J132" s="87"/>
      <c r="K132" s="88"/>
      <c r="L132" s="89" t="s">
        <v>2</v>
      </c>
      <c r="M132" s="90" t="s">
        <v>3</v>
      </c>
      <c r="N132" s="47"/>
      <c r="O132" s="47"/>
    </row>
    <row r="133" spans="4:15" ht="15.75">
      <c r="D133" s="22" t="b">
        <f>AND($D$1=2,$D$7=1,'Simulazione 4.7'!$C$3&lt;=3,'Simulazione 4.7'!$C$3&gt;=1)</f>
        <v>0</v>
      </c>
      <c r="E133" s="28" t="s">
        <v>6</v>
      </c>
      <c r="F133" s="51">
        <v>182</v>
      </c>
      <c r="G133" s="52">
        <f t="shared" ref="G133:G138" si="60">F133-82</f>
        <v>100</v>
      </c>
      <c r="H133" s="117">
        <f t="shared" ref="H133:H138" si="61">IF(D133=TRUE,(F133+L133)/2,0)</f>
        <v>0</v>
      </c>
      <c r="I133" s="117">
        <f t="shared" ref="I133:I138" si="62">IF(D133=TRUE,(G133+M133)/2,0)</f>
        <v>0</v>
      </c>
      <c r="J133" s="22"/>
      <c r="K133" s="28" t="s">
        <v>6</v>
      </c>
      <c r="L133" s="51">
        <v>176</v>
      </c>
      <c r="M133" s="52">
        <f t="shared" ref="M133:M138" si="63">L133-82</f>
        <v>94</v>
      </c>
      <c r="N133" s="5"/>
      <c r="O133" s="5"/>
    </row>
    <row r="134" spans="4:15" ht="15.75">
      <c r="D134" s="22" t="b">
        <f>AND($D$1=2,$D$7=1,'Simulazione 4.7'!$C$3&lt;=20,'Simulazione 4.7'!$C$3&gt;3)</f>
        <v>0</v>
      </c>
      <c r="E134" s="28" t="s">
        <v>7</v>
      </c>
      <c r="F134" s="51">
        <v>171</v>
      </c>
      <c r="G134" s="52">
        <f t="shared" si="60"/>
        <v>89</v>
      </c>
      <c r="H134" s="117">
        <f t="shared" si="61"/>
        <v>0</v>
      </c>
      <c r="I134" s="117">
        <f t="shared" si="62"/>
        <v>0</v>
      </c>
      <c r="J134" s="22"/>
      <c r="K134" s="28" t="s">
        <v>7</v>
      </c>
      <c r="L134" s="51">
        <v>165</v>
      </c>
      <c r="M134" s="52">
        <f t="shared" si="63"/>
        <v>83</v>
      </c>
      <c r="N134" s="5"/>
      <c r="O134" s="5"/>
    </row>
    <row r="135" spans="4:15" ht="15.75">
      <c r="D135" s="22" t="b">
        <f>AND($D$1=2,$D$7=1,'Simulazione 4.7'!$C$3&lt;=200,'Simulazione 4.7'!$C$3&gt;20)</f>
        <v>0</v>
      </c>
      <c r="E135" s="28" t="s">
        <v>8</v>
      </c>
      <c r="F135" s="51">
        <v>157</v>
      </c>
      <c r="G135" s="52">
        <f t="shared" si="60"/>
        <v>75</v>
      </c>
      <c r="H135" s="117">
        <f t="shared" si="61"/>
        <v>0</v>
      </c>
      <c r="I135" s="117">
        <f t="shared" si="62"/>
        <v>0</v>
      </c>
      <c r="J135" s="22"/>
      <c r="K135" s="28" t="s">
        <v>8</v>
      </c>
      <c r="L135" s="51">
        <v>151</v>
      </c>
      <c r="M135" s="52">
        <f t="shared" si="63"/>
        <v>69</v>
      </c>
      <c r="N135" s="5"/>
      <c r="O135" s="5"/>
    </row>
    <row r="136" spans="4:15" ht="15.75">
      <c r="D136" s="22" t="b">
        <f>AND($D$1=2,$D$7=1,'Simulazione 4.7'!$C$3&lt;=1000,'Simulazione 4.7'!$C$3&gt;200)</f>
        <v>0</v>
      </c>
      <c r="E136" s="28" t="s">
        <v>9</v>
      </c>
      <c r="F136" s="47">
        <v>130</v>
      </c>
      <c r="G136" s="48">
        <f t="shared" si="60"/>
        <v>48</v>
      </c>
      <c r="H136" s="117">
        <f t="shared" si="61"/>
        <v>0</v>
      </c>
      <c r="I136" s="117">
        <f t="shared" si="62"/>
        <v>0</v>
      </c>
      <c r="J136" s="22"/>
      <c r="K136" s="28" t="s">
        <v>9</v>
      </c>
      <c r="L136" s="47">
        <v>124</v>
      </c>
      <c r="M136" s="48">
        <f t="shared" si="63"/>
        <v>42</v>
      </c>
      <c r="N136" s="5"/>
      <c r="O136" s="5"/>
    </row>
    <row r="137" spans="4:15" ht="15.75">
      <c r="D137" s="22" t="b">
        <f>AND($D$1=2,$D$7=1,'Simulazione 4.7'!$C$3&lt;=5000,'Simulazione 4.7'!$C$3&gt;1000)</f>
        <v>0</v>
      </c>
      <c r="E137" s="28" t="s">
        <v>10</v>
      </c>
      <c r="F137" s="51">
        <v>118</v>
      </c>
      <c r="G137" s="52">
        <f t="shared" si="60"/>
        <v>36</v>
      </c>
      <c r="H137" s="117">
        <f t="shared" si="61"/>
        <v>0</v>
      </c>
      <c r="I137" s="117">
        <f t="shared" si="62"/>
        <v>0</v>
      </c>
      <c r="J137" s="22"/>
      <c r="K137" s="28" t="s">
        <v>10</v>
      </c>
      <c r="L137" s="51">
        <v>113</v>
      </c>
      <c r="M137" s="52">
        <f t="shared" si="63"/>
        <v>31</v>
      </c>
      <c r="N137" s="5"/>
      <c r="O137" s="5"/>
    </row>
    <row r="138" spans="4:15" ht="16.5" thickBot="1">
      <c r="D138" s="29" t="b">
        <f>AND($D$1=2,$D$7=1,'Simulazione 4.7'!$C$3&gt;=5000)</f>
        <v>0</v>
      </c>
      <c r="E138" s="35" t="s">
        <v>11</v>
      </c>
      <c r="F138" s="57">
        <v>112</v>
      </c>
      <c r="G138" s="58">
        <f t="shared" si="60"/>
        <v>30</v>
      </c>
      <c r="H138" s="117">
        <f t="shared" si="61"/>
        <v>0</v>
      </c>
      <c r="I138" s="117">
        <f t="shared" si="62"/>
        <v>0</v>
      </c>
      <c r="J138" s="29"/>
      <c r="K138" s="35" t="s">
        <v>11</v>
      </c>
      <c r="L138" s="57">
        <v>106</v>
      </c>
      <c r="M138" s="58">
        <f t="shared" si="63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7"/>
      <c r="E142" s="88"/>
      <c r="F142" s="89" t="s">
        <v>2</v>
      </c>
      <c r="G142" s="90" t="s">
        <v>3</v>
      </c>
      <c r="H142" s="49"/>
      <c r="I142" s="49"/>
      <c r="J142" s="87"/>
      <c r="K142" s="88"/>
      <c r="L142" s="89" t="s">
        <v>2</v>
      </c>
      <c r="M142" s="90" t="s">
        <v>3</v>
      </c>
      <c r="N142" s="47"/>
      <c r="O142" s="47"/>
    </row>
    <row r="143" spans="4:15" ht="15.75">
      <c r="D143" s="22" t="b">
        <f>AND($D$1=3,$D$7=1,'Simulazione 4.7'!$C$3&lt;=3,'Simulazione 4.7'!$C$3&gt;=1)</f>
        <v>0</v>
      </c>
      <c r="E143" s="28" t="s">
        <v>6</v>
      </c>
      <c r="F143" s="51">
        <v>157</v>
      </c>
      <c r="G143" s="52">
        <f t="shared" ref="G143:G148" si="64">F143-82</f>
        <v>75</v>
      </c>
      <c r="H143" s="117">
        <f t="shared" ref="H143:H148" si="65">IF(D143=TRUE,(F143+L143)/2,0)</f>
        <v>0</v>
      </c>
      <c r="I143" s="117">
        <f t="shared" ref="I143:I148" si="66">IF(D143=TRUE,(G143+M143)/2,0)</f>
        <v>0</v>
      </c>
      <c r="J143" s="22"/>
      <c r="K143" s="28" t="s">
        <v>6</v>
      </c>
      <c r="L143" s="51">
        <v>152</v>
      </c>
      <c r="M143" s="52">
        <f t="shared" ref="M143:M148" si="67">L143-82</f>
        <v>70</v>
      </c>
      <c r="N143" s="5"/>
      <c r="O143" s="5"/>
    </row>
    <row r="144" spans="4:15" ht="15.75">
      <c r="D144" s="22" t="b">
        <f>AND($D$1=3,$D$7=1,'Simulazione 4.7'!$C$3&lt;=20,'Simulazione 4.7'!$C$3&gt;3)</f>
        <v>0</v>
      </c>
      <c r="E144" s="28" t="s">
        <v>7</v>
      </c>
      <c r="F144" s="51">
        <v>149</v>
      </c>
      <c r="G144" s="52">
        <f t="shared" si="64"/>
        <v>67</v>
      </c>
      <c r="H144" s="117">
        <f t="shared" si="65"/>
        <v>0</v>
      </c>
      <c r="I144" s="117">
        <f t="shared" si="66"/>
        <v>0</v>
      </c>
      <c r="J144" s="22"/>
      <c r="K144" s="28" t="s">
        <v>7</v>
      </c>
      <c r="L144" s="51">
        <v>144</v>
      </c>
      <c r="M144" s="52">
        <f t="shared" si="67"/>
        <v>62</v>
      </c>
      <c r="N144" s="5"/>
      <c r="O144" s="5"/>
    </row>
    <row r="145" spans="4:15" ht="15.75">
      <c r="D145" s="22" t="b">
        <f>AND($D$1=3,$D$7=1,'Simulazione 4.7'!$C$3&lt;=200,'Simulazione 4.7'!$C$3&gt;20)</f>
        <v>0</v>
      </c>
      <c r="E145" s="28" t="s">
        <v>8</v>
      </c>
      <c r="F145" s="51">
        <v>141</v>
      </c>
      <c r="G145" s="52">
        <f t="shared" si="64"/>
        <v>59</v>
      </c>
      <c r="H145" s="117">
        <f t="shared" si="65"/>
        <v>0</v>
      </c>
      <c r="I145" s="117">
        <f t="shared" si="66"/>
        <v>0</v>
      </c>
      <c r="J145" s="22"/>
      <c r="K145" s="28" t="s">
        <v>8</v>
      </c>
      <c r="L145" s="51">
        <v>136</v>
      </c>
      <c r="M145" s="52">
        <f t="shared" si="67"/>
        <v>54</v>
      </c>
      <c r="N145" s="5"/>
      <c r="O145" s="5"/>
    </row>
    <row r="146" spans="4:15" ht="15.75">
      <c r="D146" s="22" t="b">
        <f>AND($D$1=3,$D$7=1,'Simulazione 4.7'!$C$3&lt;=1000,'Simulazione 4.7'!$C$3&gt;200)</f>
        <v>0</v>
      </c>
      <c r="E146" s="28" t="s">
        <v>9</v>
      </c>
      <c r="F146" s="47">
        <v>118</v>
      </c>
      <c r="G146" s="48">
        <f t="shared" si="64"/>
        <v>36</v>
      </c>
      <c r="H146" s="117">
        <f t="shared" si="65"/>
        <v>0</v>
      </c>
      <c r="I146" s="117">
        <f t="shared" si="66"/>
        <v>0</v>
      </c>
      <c r="J146" s="22"/>
      <c r="K146" s="28" t="s">
        <v>9</v>
      </c>
      <c r="L146" s="47">
        <v>113</v>
      </c>
      <c r="M146" s="48">
        <f t="shared" si="67"/>
        <v>31</v>
      </c>
      <c r="N146" s="5"/>
      <c r="O146" s="5"/>
    </row>
    <row r="147" spans="4:15" ht="15.75">
      <c r="D147" s="22" t="b">
        <f>AND($D$1=3,$D$7=1,'Simulazione 4.7'!$C$3&lt;=5000,'Simulazione 4.7'!$C$3&gt;1000)</f>
        <v>0</v>
      </c>
      <c r="E147" s="28" t="s">
        <v>10</v>
      </c>
      <c r="F147" s="51">
        <v>110</v>
      </c>
      <c r="G147" s="52">
        <f t="shared" si="64"/>
        <v>28</v>
      </c>
      <c r="H147" s="117">
        <f t="shared" si="65"/>
        <v>0</v>
      </c>
      <c r="I147" s="117">
        <f t="shared" si="66"/>
        <v>0</v>
      </c>
      <c r="J147" s="22"/>
      <c r="K147" s="28" t="s">
        <v>10</v>
      </c>
      <c r="L147" s="51">
        <v>106</v>
      </c>
      <c r="M147" s="52">
        <f t="shared" si="67"/>
        <v>24</v>
      </c>
      <c r="N147" s="5"/>
      <c r="O147" s="5"/>
    </row>
    <row r="148" spans="4:15" ht="16.5" thickBot="1">
      <c r="D148" s="29" t="b">
        <f>AND($D$1=3,$D$7=1,'Simulazione 4.7'!$C$3&gt;=5000)</f>
        <v>0</v>
      </c>
      <c r="E148" s="35" t="s">
        <v>11</v>
      </c>
      <c r="F148" s="57">
        <v>104</v>
      </c>
      <c r="G148" s="58">
        <f t="shared" si="64"/>
        <v>22</v>
      </c>
      <c r="H148" s="117">
        <f t="shared" si="65"/>
        <v>0</v>
      </c>
      <c r="I148" s="117">
        <f t="shared" si="66"/>
        <v>0</v>
      </c>
      <c r="J148" s="29"/>
      <c r="K148" s="35" t="s">
        <v>11</v>
      </c>
      <c r="L148" s="57">
        <v>99</v>
      </c>
      <c r="M148" s="58">
        <f t="shared" si="67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7"/>
      <c r="E154" s="88"/>
      <c r="F154" s="89" t="s">
        <v>2</v>
      </c>
      <c r="G154" s="90" t="s">
        <v>3</v>
      </c>
      <c r="H154" s="49"/>
      <c r="I154" s="49"/>
      <c r="J154" s="87"/>
      <c r="K154" s="88"/>
      <c r="L154" s="89" t="s">
        <v>2</v>
      </c>
      <c r="M154" s="90" t="s">
        <v>3</v>
      </c>
      <c r="N154" s="47"/>
      <c r="O154" s="47"/>
    </row>
    <row r="155" spans="4:15" ht="15.75">
      <c r="D155" s="22" t="b">
        <f>AND($D$1=4,$D$7=1,'Simulazione 4.7'!$C$3&lt;=3,'Simulazione 4.7'!$C$3&gt;=1)</f>
        <v>0</v>
      </c>
      <c r="E155" s="28" t="s">
        <v>6</v>
      </c>
      <c r="F155" s="51">
        <v>144</v>
      </c>
      <c r="G155" s="52">
        <f t="shared" ref="G155:G160" si="68">F155-82</f>
        <v>62</v>
      </c>
      <c r="H155" s="117">
        <f t="shared" ref="H155:H160" si="69">IF(D155=TRUE,(F155+L155)/2,0)</f>
        <v>0</v>
      </c>
      <c r="I155" s="117">
        <f t="shared" ref="I155:I160" si="70">IF(D155=TRUE,(G155+M155)/2,0)</f>
        <v>0</v>
      </c>
      <c r="J155" s="22"/>
      <c r="K155" s="28" t="s">
        <v>6</v>
      </c>
      <c r="L155" s="51">
        <v>140</v>
      </c>
      <c r="M155" s="52">
        <f t="shared" ref="M155:M160" si="71">L155-82</f>
        <v>58</v>
      </c>
      <c r="N155" s="5"/>
      <c r="O155" s="5"/>
    </row>
    <row r="156" spans="4:15" ht="15.75">
      <c r="D156" s="22" t="b">
        <f>AND($D$1=4,$D$7=1,'Simulazione 4.7'!$C$3&lt;=20,'Simulazione 4.7'!$C$3&gt;3)</f>
        <v>0</v>
      </c>
      <c r="E156" s="28" t="s">
        <v>7</v>
      </c>
      <c r="F156" s="51">
        <v>137</v>
      </c>
      <c r="G156" s="52">
        <f t="shared" si="68"/>
        <v>55</v>
      </c>
      <c r="H156" s="117">
        <f t="shared" si="69"/>
        <v>0</v>
      </c>
      <c r="I156" s="117">
        <f t="shared" si="70"/>
        <v>0</v>
      </c>
      <c r="J156" s="22"/>
      <c r="K156" s="28" t="s">
        <v>7</v>
      </c>
      <c r="L156" s="51">
        <v>133</v>
      </c>
      <c r="M156" s="52">
        <f t="shared" si="71"/>
        <v>51</v>
      </c>
      <c r="N156" s="5"/>
      <c r="O156" s="5"/>
    </row>
    <row r="157" spans="4:15" ht="15.75">
      <c r="D157" s="22" t="b">
        <f>AND($D$1=4,$D$7=1,'Simulazione 4.7'!$C$3&lt;=200,'Simulazione 4.7'!$C$3&gt;20)</f>
        <v>0</v>
      </c>
      <c r="E157" s="28" t="s">
        <v>8</v>
      </c>
      <c r="F157" s="51">
        <v>131</v>
      </c>
      <c r="G157" s="52">
        <f t="shared" si="68"/>
        <v>49</v>
      </c>
      <c r="H157" s="117">
        <f t="shared" si="69"/>
        <v>0</v>
      </c>
      <c r="I157" s="117">
        <f t="shared" si="70"/>
        <v>0</v>
      </c>
      <c r="J157" s="22"/>
      <c r="K157" s="28" t="s">
        <v>8</v>
      </c>
      <c r="L157" s="51">
        <v>126</v>
      </c>
      <c r="M157" s="52">
        <f t="shared" si="71"/>
        <v>44</v>
      </c>
      <c r="N157" s="5"/>
      <c r="O157" s="5"/>
    </row>
    <row r="158" spans="4:15" ht="15.75">
      <c r="D158" s="22" t="b">
        <f>AND($D$1=4,$D$7=1,'Simulazione 4.7'!$C$3&lt;=1000,'Simulazione 4.7'!$C$3&gt;200)</f>
        <v>0</v>
      </c>
      <c r="E158" s="28" t="s">
        <v>9</v>
      </c>
      <c r="F158" s="47">
        <v>111</v>
      </c>
      <c r="G158" s="48">
        <f t="shared" si="68"/>
        <v>29</v>
      </c>
      <c r="H158" s="117">
        <f t="shared" si="69"/>
        <v>0</v>
      </c>
      <c r="I158" s="117">
        <f t="shared" si="70"/>
        <v>0</v>
      </c>
      <c r="J158" s="22"/>
      <c r="K158" s="28" t="s">
        <v>9</v>
      </c>
      <c r="L158" s="47">
        <v>107</v>
      </c>
      <c r="M158" s="48">
        <f t="shared" si="71"/>
        <v>25</v>
      </c>
      <c r="N158" s="5"/>
      <c r="O158" s="5"/>
    </row>
    <row r="159" spans="4:15" ht="15.75">
      <c r="D159" s="22" t="b">
        <f>AND($D$1=4,$D$7=1,'Simulazione 4.7'!$C$3&lt;=5000,'Simulazione 4.7'!$C$3&gt;1000)</f>
        <v>0</v>
      </c>
      <c r="E159" s="28" t="s">
        <v>10</v>
      </c>
      <c r="F159" s="51">
        <v>105</v>
      </c>
      <c r="G159" s="52">
        <f t="shared" si="68"/>
        <v>23</v>
      </c>
      <c r="H159" s="117">
        <f t="shared" si="69"/>
        <v>0</v>
      </c>
      <c r="I159" s="117">
        <f t="shared" si="70"/>
        <v>0</v>
      </c>
      <c r="J159" s="22"/>
      <c r="K159" s="28" t="s">
        <v>10</v>
      </c>
      <c r="L159" s="51">
        <v>101</v>
      </c>
      <c r="M159" s="52">
        <f t="shared" si="71"/>
        <v>19</v>
      </c>
      <c r="N159" s="5"/>
      <c r="O159" s="5"/>
    </row>
    <row r="160" spans="4:15" ht="16.5" thickBot="1">
      <c r="D160" s="29" t="b">
        <f>AND($D$1=4,$D$7=1,'Simulazione 4.7'!$C$3&gt;=5000)</f>
        <v>0</v>
      </c>
      <c r="E160" s="35" t="s">
        <v>11</v>
      </c>
      <c r="F160" s="57">
        <v>99</v>
      </c>
      <c r="G160" s="58">
        <f t="shared" si="68"/>
        <v>17</v>
      </c>
      <c r="H160" s="117">
        <f t="shared" si="69"/>
        <v>0</v>
      </c>
      <c r="I160" s="117">
        <f t="shared" si="70"/>
        <v>0</v>
      </c>
      <c r="J160" s="29"/>
      <c r="K160" s="35" t="s">
        <v>11</v>
      </c>
      <c r="L160" s="57">
        <v>95</v>
      </c>
      <c r="M160" s="58">
        <f t="shared" si="71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7"/>
      <c r="E168" s="88"/>
      <c r="F168" s="89" t="s">
        <v>2</v>
      </c>
      <c r="G168" s="90" t="s">
        <v>3</v>
      </c>
      <c r="H168" s="49"/>
      <c r="I168" s="49"/>
      <c r="J168" s="87"/>
      <c r="K168" s="88"/>
      <c r="L168" s="89" t="s">
        <v>2</v>
      </c>
      <c r="M168" s="90" t="s">
        <v>3</v>
      </c>
      <c r="N168" s="47"/>
      <c r="O168" s="47"/>
    </row>
    <row r="169" spans="4:15" ht="15.75">
      <c r="D169" s="22" t="b">
        <f>AND($D$1=5,$D$7=1,'Simulazione 4.7'!$C$3&lt;=3,'Simulazione 4.7'!$C$3&gt;=1)</f>
        <v>0</v>
      </c>
      <c r="E169" s="28" t="s">
        <v>6</v>
      </c>
      <c r="F169" s="51">
        <v>133</v>
      </c>
      <c r="G169" s="52">
        <f t="shared" ref="G169:G174" si="72">F169-82</f>
        <v>51</v>
      </c>
      <c r="H169" s="53">
        <f t="shared" ref="H169:H174" si="73">IF(D169=TRUE,F169,0)</f>
        <v>0</v>
      </c>
      <c r="I169" s="117">
        <f t="shared" ref="I169:I174" si="74">IF(D169=TRUE,(G169+M169)/2,0)</f>
        <v>0</v>
      </c>
      <c r="J169" s="22"/>
      <c r="K169" s="28" t="s">
        <v>6</v>
      </c>
      <c r="L169" s="51">
        <v>130</v>
      </c>
      <c r="M169" s="52">
        <f t="shared" ref="M169:M174" si="75">L169-82</f>
        <v>48</v>
      </c>
      <c r="N169" s="5"/>
      <c r="O169" s="5"/>
    </row>
    <row r="170" spans="4:15" ht="15.75">
      <c r="D170" s="22" t="b">
        <f>AND($D$1=5,$D$7=1,'Simulazione 4.7'!$C$3&lt;=20,'Simulazione 4.7'!$C$3&gt;3)</f>
        <v>0</v>
      </c>
      <c r="E170" s="28" t="s">
        <v>7</v>
      </c>
      <c r="F170" s="51">
        <v>128</v>
      </c>
      <c r="G170" s="52">
        <f t="shared" si="72"/>
        <v>46</v>
      </c>
      <c r="H170" s="53">
        <f t="shared" si="73"/>
        <v>0</v>
      </c>
      <c r="I170" s="117">
        <f t="shared" si="74"/>
        <v>0</v>
      </c>
      <c r="J170" s="22"/>
      <c r="K170" s="28" t="s">
        <v>7</v>
      </c>
      <c r="L170" s="51">
        <v>124</v>
      </c>
      <c r="M170" s="52">
        <f t="shared" si="75"/>
        <v>42</v>
      </c>
      <c r="N170" s="5"/>
      <c r="O170" s="5"/>
    </row>
    <row r="171" spans="4:15" ht="15.75">
      <c r="D171" s="22" t="b">
        <f>AND($D$1=5,$D$7=1,'Simulazione 4.7'!$C$3&lt;=200,'Simulazione 4.7'!$C$3&gt;20)</f>
        <v>0</v>
      </c>
      <c r="E171" s="28" t="s">
        <v>8</v>
      </c>
      <c r="F171" s="51">
        <v>122</v>
      </c>
      <c r="G171" s="52">
        <f t="shared" si="72"/>
        <v>40</v>
      </c>
      <c r="H171" s="53">
        <f t="shared" si="73"/>
        <v>0</v>
      </c>
      <c r="I171" s="117">
        <f t="shared" si="74"/>
        <v>0</v>
      </c>
      <c r="J171" s="22"/>
      <c r="K171" s="28" t="s">
        <v>8</v>
      </c>
      <c r="L171" s="51">
        <v>118</v>
      </c>
      <c r="M171" s="52">
        <f t="shared" si="75"/>
        <v>36</v>
      </c>
      <c r="N171" s="5"/>
      <c r="O171" s="5"/>
    </row>
    <row r="172" spans="4:15" ht="15.75">
      <c r="D172" s="22" t="b">
        <f>AND($D$1=5,$D$7=1,'Simulazione 4.7'!$C$3&lt;=1000,'Simulazione 4.7'!$C$3&gt;200)</f>
        <v>0</v>
      </c>
      <c r="E172" s="28" t="s">
        <v>9</v>
      </c>
      <c r="F172" s="47">
        <v>106</v>
      </c>
      <c r="G172" s="48">
        <f t="shared" si="72"/>
        <v>24</v>
      </c>
      <c r="H172" s="49">
        <f t="shared" si="73"/>
        <v>0</v>
      </c>
      <c r="I172" s="117">
        <f t="shared" si="74"/>
        <v>0</v>
      </c>
      <c r="J172" s="22"/>
      <c r="K172" s="28" t="s">
        <v>9</v>
      </c>
      <c r="L172" s="47">
        <v>102</v>
      </c>
      <c r="M172" s="48">
        <f t="shared" si="75"/>
        <v>20</v>
      </c>
      <c r="N172" s="5"/>
      <c r="O172" s="5"/>
    </row>
    <row r="173" spans="4:15" ht="15.75">
      <c r="D173" s="22" t="b">
        <f>AND($D$1=5,$D$7=1,'Simulazione 4.7'!$C$3&lt;=5000,'Simulazione 4.7'!$C$3&gt;1000)</f>
        <v>0</v>
      </c>
      <c r="E173" s="28" t="s">
        <v>10</v>
      </c>
      <c r="F173" s="51">
        <v>100</v>
      </c>
      <c r="G173" s="52">
        <f t="shared" si="72"/>
        <v>18</v>
      </c>
      <c r="H173" s="53">
        <f t="shared" si="73"/>
        <v>0</v>
      </c>
      <c r="I173" s="117">
        <f t="shared" si="74"/>
        <v>0</v>
      </c>
      <c r="J173" s="22"/>
      <c r="K173" s="28" t="s">
        <v>10</v>
      </c>
      <c r="L173" s="51">
        <v>97</v>
      </c>
      <c r="M173" s="52">
        <f t="shared" si="75"/>
        <v>15</v>
      </c>
      <c r="N173" s="5"/>
      <c r="O173" s="5"/>
    </row>
    <row r="174" spans="4:15" ht="16.5" thickBot="1">
      <c r="D174" s="29" t="b">
        <f>AND($D$1=5,$D$7=1,'Simulazione 4.7'!$C$3&gt;=5000)</f>
        <v>0</v>
      </c>
      <c r="E174" s="35" t="s">
        <v>11</v>
      </c>
      <c r="F174" s="57">
        <v>95</v>
      </c>
      <c r="G174" s="58">
        <f t="shared" si="72"/>
        <v>13</v>
      </c>
      <c r="H174" s="53">
        <f t="shared" si="73"/>
        <v>0</v>
      </c>
      <c r="I174" s="117">
        <f t="shared" si="74"/>
        <v>0</v>
      </c>
      <c r="J174" s="29"/>
      <c r="K174" s="35" t="s">
        <v>11</v>
      </c>
      <c r="L174" s="57">
        <v>92</v>
      </c>
      <c r="M174" s="58">
        <f t="shared" si="75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196" t="s">
        <v>127</v>
      </c>
      <c r="E179" s="196"/>
      <c r="F179" s="196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197" t="s">
        <v>4</v>
      </c>
      <c r="G182" s="198"/>
      <c r="H182" s="117"/>
      <c r="I182" s="117"/>
      <c r="J182" s="5"/>
      <c r="K182" s="2"/>
      <c r="L182" s="200"/>
      <c r="M182" s="200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7"/>
      <c r="I183" s="117"/>
      <c r="J183" s="5"/>
      <c r="K183" s="2"/>
      <c r="L183" s="5"/>
      <c r="M183" s="5"/>
      <c r="N183" s="2"/>
      <c r="O183" s="2"/>
    </row>
    <row r="184" spans="4:15">
      <c r="D184" s="22" t="b">
        <f>AND($D$1=1,'Simulazione 4.7'!$C$3&lt;=20,'Simulazione 4.7'!$C$3&gt;=1)</f>
        <v>0</v>
      </c>
      <c r="E184" s="28" t="s">
        <v>129</v>
      </c>
      <c r="F184" s="5">
        <v>288</v>
      </c>
      <c r="G184" s="26">
        <v>186</v>
      </c>
      <c r="H184" s="117">
        <f>IF(D184=TRUE,F184,0)</f>
        <v>0</v>
      </c>
      <c r="I184" s="117">
        <f>IF(D184=TRUE,G184,0)</f>
        <v>0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4.7'!$C$3&lt;=200,'Simulazione 4.7'!$C$3&gt;20)</f>
        <v>0</v>
      </c>
      <c r="E185" s="28" t="s">
        <v>8</v>
      </c>
      <c r="F185" s="5">
        <v>276</v>
      </c>
      <c r="G185" s="26">
        <v>174</v>
      </c>
      <c r="H185" s="117">
        <f t="shared" ref="H185:H186" si="76">IF(D185=TRUE,F185,0)</f>
        <v>0</v>
      </c>
      <c r="I185" s="117">
        <f>IF(D185=TRUE,G185,0)</f>
        <v>0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4.7'!$C$3&gt;200)</f>
        <v>0</v>
      </c>
      <c r="E186" s="35" t="s">
        <v>130</v>
      </c>
      <c r="F186" s="36">
        <v>255</v>
      </c>
      <c r="G186" s="37">
        <v>153</v>
      </c>
      <c r="H186" s="117">
        <f t="shared" si="76"/>
        <v>0</v>
      </c>
      <c r="I186" s="117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7"/>
      <c r="G187" s="117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197" t="s">
        <v>4</v>
      </c>
      <c r="G189" s="198"/>
      <c r="H189" s="117"/>
      <c r="I189" s="117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7"/>
      <c r="I190" s="117"/>
      <c r="J190" s="2"/>
      <c r="K190" s="2"/>
      <c r="L190" s="2"/>
      <c r="M190" s="2"/>
      <c r="N190" s="2"/>
      <c r="O190" s="2"/>
    </row>
    <row r="191" spans="4:15">
      <c r="D191" s="22" t="b">
        <f>AND($D$1=2,'Simulazione 4.7'!$C$3&lt;=20,'Simulazione 4.7'!$C$3&gt;=1)</f>
        <v>0</v>
      </c>
      <c r="E191" s="28" t="s">
        <v>129</v>
      </c>
      <c r="F191" s="5">
        <v>242</v>
      </c>
      <c r="G191" s="26">
        <v>160</v>
      </c>
      <c r="H191" s="117">
        <f t="shared" ref="H191:H193" si="77">IF(D191=TRUE,F191,0)</f>
        <v>0</v>
      </c>
      <c r="I191" s="117">
        <f t="shared" ref="I191:I193" si="78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4.7'!$C$3&lt;=200,'Simulazione 4.7'!$C$3&gt;20)</f>
        <v>0</v>
      </c>
      <c r="E192" s="28" t="s">
        <v>8</v>
      </c>
      <c r="F192" s="5">
        <v>231</v>
      </c>
      <c r="G192" s="26">
        <v>149</v>
      </c>
      <c r="H192" s="117">
        <f t="shared" si="77"/>
        <v>0</v>
      </c>
      <c r="I192" s="117">
        <f t="shared" si="78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4.7'!$C$3&gt;200)</f>
        <v>0</v>
      </c>
      <c r="E193" s="35" t="s">
        <v>130</v>
      </c>
      <c r="F193" s="36">
        <v>217</v>
      </c>
      <c r="G193" s="37">
        <v>135</v>
      </c>
      <c r="H193" s="117">
        <f t="shared" si="77"/>
        <v>0</v>
      </c>
      <c r="I193" s="117">
        <f t="shared" si="78"/>
        <v>0</v>
      </c>
      <c r="J193" s="2"/>
      <c r="K193" s="2"/>
      <c r="L193" s="2"/>
      <c r="M193" s="2"/>
      <c r="N193" s="2"/>
      <c r="O193" s="2"/>
    </row>
    <row r="194" spans="4:15" ht="15.75" thickBot="1">
      <c r="F194" s="117"/>
      <c r="G194" s="117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197" t="s">
        <v>4</v>
      </c>
      <c r="G197" s="198"/>
      <c r="H197" s="117"/>
      <c r="I197" s="117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7"/>
      <c r="I198" s="117"/>
    </row>
    <row r="199" spans="4:15">
      <c r="D199" s="22" t="b">
        <f>AND($D$1=3,'Simulazione 4.7'!$C$3&lt;=20,'Simulazione 4.7'!$C$3&gt;=1)</f>
        <v>0</v>
      </c>
      <c r="E199" s="28" t="s">
        <v>129</v>
      </c>
      <c r="F199" s="5">
        <v>218</v>
      </c>
      <c r="G199" s="26">
        <v>144</v>
      </c>
      <c r="H199" s="117">
        <f t="shared" ref="H199:H201" si="79">IF(D199=TRUE,F199,0)</f>
        <v>0</v>
      </c>
      <c r="I199" s="117">
        <f t="shared" ref="I199:I200" si="80">IF(D199=TRUE,G199,0)</f>
        <v>0</v>
      </c>
    </row>
    <row r="200" spans="4:15">
      <c r="D200" s="22" t="b">
        <f>AND($D$1=3,'Simulazione 4.7'!$C$3&lt;=200,'Simulazione 4.7'!$C$3&gt;20)</f>
        <v>0</v>
      </c>
      <c r="E200" s="28" t="s">
        <v>8</v>
      </c>
      <c r="F200" s="5">
        <v>208</v>
      </c>
      <c r="G200" s="26">
        <v>134</v>
      </c>
      <c r="H200" s="117">
        <f t="shared" si="79"/>
        <v>0</v>
      </c>
      <c r="I200" s="117">
        <f t="shared" si="80"/>
        <v>0</v>
      </c>
    </row>
    <row r="201" spans="4:15" ht="15.75" thickBot="1">
      <c r="D201" s="29" t="b">
        <f>AND($D$1=3,'Simulazione 4.7'!$C$3&gt;200)</f>
        <v>0</v>
      </c>
      <c r="E201" s="35" t="s">
        <v>130</v>
      </c>
      <c r="F201" s="36">
        <v>195</v>
      </c>
      <c r="G201" s="37">
        <v>121</v>
      </c>
      <c r="H201" s="117">
        <f t="shared" si="79"/>
        <v>0</v>
      </c>
      <c r="I201" s="117">
        <f>IF(D201=TRUE,(G201+M201)/2,0)</f>
        <v>0</v>
      </c>
    </row>
    <row r="202" spans="4:15" ht="15.75" thickBot="1">
      <c r="F202" s="117"/>
      <c r="G202" s="117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197" t="s">
        <v>4</v>
      </c>
      <c r="G205" s="198"/>
      <c r="H205" s="117"/>
      <c r="I205" s="117"/>
    </row>
    <row r="206" spans="4:15">
      <c r="D206" s="22"/>
      <c r="E206" s="2"/>
      <c r="F206" s="5" t="s">
        <v>2</v>
      </c>
      <c r="G206" s="26" t="s">
        <v>3</v>
      </c>
      <c r="H206" s="117"/>
      <c r="I206" s="117"/>
    </row>
    <row r="207" spans="4:15">
      <c r="D207" s="22" t="b">
        <f>AND($D$1=4,'Simulazione 4.7'!$C$3&lt;=20,'Simulazione 4.7'!$C$3&gt;=1)</f>
        <v>0</v>
      </c>
      <c r="E207" s="28" t="s">
        <v>129</v>
      </c>
      <c r="F207" s="5">
        <v>196</v>
      </c>
      <c r="G207" s="26">
        <v>130</v>
      </c>
      <c r="H207" s="117">
        <f t="shared" ref="H207:H209" si="81">IF(D207=TRUE,F207,0)</f>
        <v>0</v>
      </c>
      <c r="I207" s="117">
        <f t="shared" ref="I207:I209" si="82">IF(D207=TRUE,G207,0)</f>
        <v>0</v>
      </c>
    </row>
    <row r="208" spans="4:15">
      <c r="D208" s="22" t="b">
        <f>AND($D$1=4,'Simulazione 4.7'!$C$3&lt;=200,'Simulazione 4.7'!$C$3&gt;20)</f>
        <v>0</v>
      </c>
      <c r="E208" s="28" t="s">
        <v>8</v>
      </c>
      <c r="F208" s="5">
        <v>187</v>
      </c>
      <c r="G208" s="26">
        <v>121</v>
      </c>
      <c r="H208" s="117">
        <f t="shared" si="81"/>
        <v>0</v>
      </c>
      <c r="I208" s="117">
        <f t="shared" si="82"/>
        <v>0</v>
      </c>
    </row>
    <row r="209" spans="4:28" ht="15.75" thickBot="1">
      <c r="D209" s="29" t="b">
        <f>AND($D$1=4,'Simulazione 4.7'!$C$3&gt;200)</f>
        <v>0</v>
      </c>
      <c r="E209" s="35" t="s">
        <v>130</v>
      </c>
      <c r="F209" s="36">
        <v>176</v>
      </c>
      <c r="G209" s="37">
        <v>109</v>
      </c>
      <c r="H209" s="117">
        <f t="shared" si="81"/>
        <v>0</v>
      </c>
      <c r="I209" s="117">
        <f t="shared" si="82"/>
        <v>0</v>
      </c>
    </row>
    <row r="210" spans="4:28" ht="15.75" thickBot="1">
      <c r="F210" s="117"/>
      <c r="G210" s="117"/>
      <c r="H210" s="42">
        <f>IF($H$9=2,H207+H208+H209,0)</f>
        <v>0</v>
      </c>
      <c r="I210" s="42">
        <f>IF($H$9=2,I207+I208+I209,0)</f>
        <v>0</v>
      </c>
    </row>
    <row r="212" spans="4:28" ht="15.75" thickBot="1"/>
    <row r="213" spans="4:28">
      <c r="D213" s="23"/>
      <c r="E213" s="15"/>
      <c r="F213" s="197" t="s">
        <v>4</v>
      </c>
      <c r="G213" s="198"/>
      <c r="H213" s="117"/>
      <c r="I213" s="117"/>
    </row>
    <row r="214" spans="4:28">
      <c r="D214" s="22"/>
      <c r="E214" s="2"/>
      <c r="F214" s="5" t="s">
        <v>2</v>
      </c>
      <c r="G214" s="26" t="s">
        <v>3</v>
      </c>
      <c r="H214" s="117"/>
      <c r="I214" s="117"/>
    </row>
    <row r="215" spans="4:28">
      <c r="D215" s="22" t="b">
        <f>AND($D$1=5,'Simulazione 4.7'!$C$3&lt;=20,'Simulazione 4.7'!$C$3&gt;=1)</f>
        <v>0</v>
      </c>
      <c r="E215" s="28" t="s">
        <v>129</v>
      </c>
      <c r="F215" s="5">
        <v>176</v>
      </c>
      <c r="G215" s="26">
        <v>117</v>
      </c>
      <c r="H215" s="117">
        <f t="shared" ref="H215:H217" si="83">IF(D215=TRUE,F215,0)</f>
        <v>0</v>
      </c>
      <c r="I215" s="117">
        <f t="shared" ref="I215:I217" si="84">IF(D215=TRUE,G215,0)</f>
        <v>0</v>
      </c>
    </row>
    <row r="216" spans="4:28">
      <c r="D216" s="22" t="b">
        <f>AND($D$1=5,'Simulazione 4.7'!$C$3&lt;=200,'Simulazione 4.7'!$C$3&gt;20)</f>
        <v>0</v>
      </c>
      <c r="E216" s="28" t="s">
        <v>8</v>
      </c>
      <c r="F216" s="5">
        <v>169</v>
      </c>
      <c r="G216" s="26">
        <v>109</v>
      </c>
      <c r="H216" s="117">
        <f t="shared" si="83"/>
        <v>0</v>
      </c>
      <c r="I216" s="117">
        <f t="shared" si="84"/>
        <v>0</v>
      </c>
    </row>
    <row r="217" spans="4:28" ht="15.75" thickBot="1">
      <c r="D217" s="29" t="b">
        <f>AND($D$1=5,'Simulazione 4.7'!$C$3&gt;200)</f>
        <v>0</v>
      </c>
      <c r="E217" s="35" t="s">
        <v>130</v>
      </c>
      <c r="F217" s="36">
        <v>158</v>
      </c>
      <c r="G217" s="37">
        <v>98</v>
      </c>
      <c r="H217" s="117">
        <f t="shared" si="83"/>
        <v>0</v>
      </c>
      <c r="I217" s="117">
        <f t="shared" si="84"/>
        <v>0</v>
      </c>
    </row>
    <row r="218" spans="4:28" ht="15.75" thickBot="1">
      <c r="F218" s="117"/>
      <c r="G218" s="117"/>
      <c r="H218" s="42">
        <f>IF($H$9=2,H215+H216+H217,0)</f>
        <v>0</v>
      </c>
      <c r="I218" s="42">
        <f>IF($H$9=2,I215+I216+I217,0)</f>
        <v>0</v>
      </c>
    </row>
    <row r="221" spans="4:28">
      <c r="D221" s="6" t="s">
        <v>159</v>
      </c>
    </row>
    <row r="222" spans="4:28"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07">
        <v>20</v>
      </c>
      <c r="X222" s="107">
        <v>21</v>
      </c>
      <c r="Y222" s="107">
        <v>22</v>
      </c>
      <c r="Z222" s="107">
        <v>23</v>
      </c>
      <c r="AA222" s="107">
        <v>24</v>
      </c>
      <c r="AB222" s="107">
        <v>25</v>
      </c>
    </row>
    <row r="223" spans="4:28">
      <c r="D223" s="6">
        <f>'Simulazione 4.7'!C31</f>
        <v>10000</v>
      </c>
      <c r="E223" s="107">
        <f>D223+(Calcoli!D223/100*'Simulazione 4.7'!$C$39)</f>
        <v>10200</v>
      </c>
      <c r="F223" s="107">
        <f>E223+(Calcoli!E223/100*'Simulazione 4.7'!$C$39)</f>
        <v>10404</v>
      </c>
      <c r="G223" s="107">
        <f>F223+(Calcoli!F223/100*'Simulazione 4.7'!$C$39)</f>
        <v>10612.08</v>
      </c>
      <c r="H223" s="107">
        <f>G223+(Calcoli!G223/100*'Simulazione 4.7'!$C$39)</f>
        <v>10824.321599999999</v>
      </c>
      <c r="I223" s="107">
        <f>H223+(Calcoli!H223/100*'Simulazione 4.7'!$C$39)</f>
        <v>11040.808031999999</v>
      </c>
      <c r="J223" s="107">
        <f>I223+(Calcoli!I223/100*'Simulazione 4.7'!$C$39)</f>
        <v>11261.62419264</v>
      </c>
      <c r="K223" s="107">
        <f>J223+(Calcoli!J223/100*'Simulazione 4.7'!$C$39)</f>
        <v>11486.8566764928</v>
      </c>
      <c r="L223" s="107">
        <f>K223+(Calcoli!K223/100*'Simulazione 4.7'!$C$39)</f>
        <v>11716.593810022656</v>
      </c>
      <c r="M223" s="107">
        <f>L223+(Calcoli!L223/100*'Simulazione 4.7'!$C$39)</f>
        <v>11950.925686223109</v>
      </c>
      <c r="N223" s="107">
        <f>M223+(Calcoli!M223/100*'Simulazione 4.7'!$C$39)</f>
        <v>12189.944199947571</v>
      </c>
      <c r="O223" s="107">
        <f>N223+(Calcoli!N223/100*'Simulazione 4.7'!$C$39)</f>
        <v>12433.743083946523</v>
      </c>
      <c r="P223" s="107">
        <f>O223+(Calcoli!O223/100*'Simulazione 4.7'!$C$39)</f>
        <v>12682.417945625453</v>
      </c>
      <c r="Q223" s="107">
        <f>P223+(Calcoli!P223/100*'Simulazione 4.7'!$C$39)</f>
        <v>12936.066304537962</v>
      </c>
      <c r="R223" s="107">
        <f>Q223+(Calcoli!Q223/100*'Simulazione 4.7'!$C$39)</f>
        <v>13194.787630628722</v>
      </c>
      <c r="S223" s="107">
        <f>R223+(Calcoli!R223/100*'Simulazione 4.7'!$C$39)</f>
        <v>13458.683383241296</v>
      </c>
      <c r="T223" s="107">
        <f>S223+(Calcoli!S223/100*'Simulazione 4.7'!$C$39)</f>
        <v>13727.857050906121</v>
      </c>
      <c r="U223" s="107">
        <f>T223+(Calcoli!T223/100*'Simulazione 4.7'!$C$39)</f>
        <v>14002.414191924243</v>
      </c>
      <c r="V223" s="107">
        <f>U223+(Calcoli!U223/100*'Simulazione 4.7'!$C$39)</f>
        <v>14282.462475762728</v>
      </c>
      <c r="W223" s="107">
        <f>V223+(Calcoli!V223/100*'Simulazione 4.7'!$C$39)</f>
        <v>14568.111725277982</v>
      </c>
      <c r="X223" s="107">
        <f>W223+(Calcoli!W223/100*'Simulazione 4.7'!$C$39)</f>
        <v>14859.473959783541</v>
      </c>
      <c r="Y223" s="107">
        <f>X223+(Calcoli!X223/100*'Simulazione 4.7'!$C$39)</f>
        <v>15156.663438979213</v>
      </c>
      <c r="Z223" s="107">
        <f>Y223+(Calcoli!Y223/100*'Simulazione 4.7'!$C$39)</f>
        <v>15459.796707758796</v>
      </c>
      <c r="AA223" s="107">
        <f>Z223+(Calcoli!Z223/100*'Simulazione 4.7'!$C$39)</f>
        <v>15768.992641913972</v>
      </c>
      <c r="AB223" s="107">
        <f>AA223+(Calcoli!AA223/100*'Simulazione 4.7'!$C$39)</f>
        <v>16084.372494752251</v>
      </c>
    </row>
    <row r="226" spans="4:4">
      <c r="D226" s="6" t="s">
        <v>163</v>
      </c>
    </row>
    <row r="227" spans="4:4">
      <c r="D227" s="6" t="b">
        <f>AND(D1=6,Q49=1)</f>
        <v>1</v>
      </c>
    </row>
    <row r="229" spans="4:4">
      <c r="D229" s="6" t="s">
        <v>164</v>
      </c>
    </row>
    <row r="230" spans="4:4">
      <c r="D230" s="6" t="b">
        <f>AND(D1=6,Q49=2)</f>
        <v>0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  <mergeCell ref="U2:AA2"/>
    <mergeCell ref="U3:AA3"/>
    <mergeCell ref="U4:AA4"/>
    <mergeCell ref="U5:AA5"/>
    <mergeCell ref="U6:AA6"/>
    <mergeCell ref="F11:G11"/>
    <mergeCell ref="L11:M11"/>
    <mergeCell ref="F21:G21"/>
    <mergeCell ref="L21:M21"/>
    <mergeCell ref="D1:D5"/>
    <mergeCell ref="D7:D8"/>
    <mergeCell ref="L121:M121"/>
    <mergeCell ref="F131:G131"/>
    <mergeCell ref="L131:M131"/>
    <mergeCell ref="F182:G182"/>
    <mergeCell ref="L182:M182"/>
    <mergeCell ref="D179:F179"/>
    <mergeCell ref="D119:F119"/>
    <mergeCell ref="F189:G189"/>
    <mergeCell ref="F197:G197"/>
    <mergeCell ref="F205:G205"/>
    <mergeCell ref="F213:G213"/>
    <mergeCell ref="F121:G12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4.7</vt:lpstr>
      <vt:lpstr>Calcoli</vt:lpstr>
      <vt:lpstr>'Simulazione 4.7'!Area_stampa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2012-07-20T16:25:03Z</dcterms:modified>
</cp:coreProperties>
</file>