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20115" windowHeight="7995"/>
  </bookViews>
  <sheets>
    <sheet name="Simulazione 5.5" sheetId="1" r:id="rId1"/>
    <sheet name="Calcoli" sheetId="6" r:id="rId2"/>
  </sheets>
  <definedNames>
    <definedName name="_xlnm.Print_Area" localSheetId="0">'Simulazione 5.5'!$A$1:$X$80</definedName>
  </definedNames>
  <calcPr calcId="125725" forceFullCalc="1"/>
</workbook>
</file>

<file path=xl/calcChain.xml><?xml version="1.0" encoding="utf-8"?>
<calcChain xmlns="http://schemas.openxmlformats.org/spreadsheetml/2006/main">
  <c r="D242" i="6"/>
  <c r="AC76" i="1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Q57" i="6"/>
  <c r="G232"/>
  <c r="D230"/>
  <c r="D227"/>
  <c r="D223"/>
  <c r="E223" s="1"/>
  <c r="F223" s="1"/>
  <c r="G223" s="1"/>
  <c r="H223" s="1"/>
  <c r="I223" s="1"/>
  <c r="J223" s="1"/>
  <c r="K223" s="1"/>
  <c r="L223" s="1"/>
  <c r="M223" s="1"/>
  <c r="N223" s="1"/>
  <c r="O223" s="1"/>
  <c r="P223" s="1"/>
  <c r="Q223" s="1"/>
  <c r="R223" s="1"/>
  <c r="S223" s="1"/>
  <c r="T223" s="1"/>
  <c r="U223" s="1"/>
  <c r="V223" s="1"/>
  <c r="W223" s="1"/>
  <c r="X223" s="1"/>
  <c r="Y223" s="1"/>
  <c r="Z223" s="1"/>
  <c r="AA223" s="1"/>
  <c r="AB223" s="1"/>
  <c r="I35" i="1"/>
  <c r="AC71"/>
  <c r="AB71"/>
  <c r="AA71"/>
  <c r="Z71"/>
  <c r="Y71"/>
  <c r="E75"/>
  <c r="O77" i="6"/>
  <c r="N72"/>
  <c r="P72" s="1"/>
  <c r="N76"/>
  <c r="P76" s="1"/>
  <c r="N75"/>
  <c r="P75" s="1"/>
  <c r="N74"/>
  <c r="P74" s="1"/>
  <c r="N73"/>
  <c r="P73" s="1"/>
  <c r="L72"/>
  <c r="I78"/>
  <c r="I76"/>
  <c r="I74"/>
  <c r="I72"/>
  <c r="D217"/>
  <c r="H217" s="1"/>
  <c r="D216"/>
  <c r="H216" s="1"/>
  <c r="D215"/>
  <c r="H215" s="1"/>
  <c r="D209"/>
  <c r="H209" s="1"/>
  <c r="D208"/>
  <c r="H208" s="1"/>
  <c r="D207"/>
  <c r="H207" s="1"/>
  <c r="D201"/>
  <c r="H201" s="1"/>
  <c r="D200"/>
  <c r="H200" s="1"/>
  <c r="D199"/>
  <c r="H199" s="1"/>
  <c r="D193"/>
  <c r="H193" s="1"/>
  <c r="D192"/>
  <c r="H192" s="1"/>
  <c r="D191"/>
  <c r="H191" s="1"/>
  <c r="D186"/>
  <c r="H186" s="1"/>
  <c r="D185"/>
  <c r="H185" s="1"/>
  <c r="D184"/>
  <c r="H184" s="1"/>
  <c r="M174"/>
  <c r="G174"/>
  <c r="D174"/>
  <c r="H174" s="1"/>
  <c r="M173"/>
  <c r="G173"/>
  <c r="D173"/>
  <c r="H173" s="1"/>
  <c r="M172"/>
  <c r="G172"/>
  <c r="D172"/>
  <c r="H172" s="1"/>
  <c r="M171"/>
  <c r="G171"/>
  <c r="D171"/>
  <c r="H171" s="1"/>
  <c r="M170"/>
  <c r="G170"/>
  <c r="D170"/>
  <c r="H170" s="1"/>
  <c r="M169"/>
  <c r="G169"/>
  <c r="D169"/>
  <c r="H169" s="1"/>
  <c r="M160"/>
  <c r="G160"/>
  <c r="D160"/>
  <c r="H160" s="1"/>
  <c r="M159"/>
  <c r="G159"/>
  <c r="D159"/>
  <c r="H159" s="1"/>
  <c r="M158"/>
  <c r="G158"/>
  <c r="D158"/>
  <c r="H158" s="1"/>
  <c r="M157"/>
  <c r="G157"/>
  <c r="D157"/>
  <c r="H157" s="1"/>
  <c r="M156"/>
  <c r="G156"/>
  <c r="D156"/>
  <c r="H156" s="1"/>
  <c r="M155"/>
  <c r="G155"/>
  <c r="D155"/>
  <c r="H155" s="1"/>
  <c r="M148"/>
  <c r="G148"/>
  <c r="D148"/>
  <c r="H148" s="1"/>
  <c r="M147"/>
  <c r="G147"/>
  <c r="D147"/>
  <c r="H147" s="1"/>
  <c r="M146"/>
  <c r="G146"/>
  <c r="D146"/>
  <c r="H146" s="1"/>
  <c r="M145"/>
  <c r="G145"/>
  <c r="D145"/>
  <c r="H145" s="1"/>
  <c r="M144"/>
  <c r="G144"/>
  <c r="D144"/>
  <c r="H144" s="1"/>
  <c r="M143"/>
  <c r="G143"/>
  <c r="D143"/>
  <c r="H143" s="1"/>
  <c r="M138"/>
  <c r="G138"/>
  <c r="D138"/>
  <c r="H138" s="1"/>
  <c r="M137"/>
  <c r="G137"/>
  <c r="D137"/>
  <c r="H137" s="1"/>
  <c r="M136"/>
  <c r="G136"/>
  <c r="D136"/>
  <c r="H136" s="1"/>
  <c r="M135"/>
  <c r="G135"/>
  <c r="D135"/>
  <c r="H135" s="1"/>
  <c r="M134"/>
  <c r="G134"/>
  <c r="D134"/>
  <c r="H134" s="1"/>
  <c r="M133"/>
  <c r="G133"/>
  <c r="D133"/>
  <c r="H133" s="1"/>
  <c r="M128"/>
  <c r="G128"/>
  <c r="D128"/>
  <c r="H128" s="1"/>
  <c r="M127"/>
  <c r="G127"/>
  <c r="D127"/>
  <c r="H127" s="1"/>
  <c r="M126"/>
  <c r="G126"/>
  <c r="D126"/>
  <c r="H126" s="1"/>
  <c r="M125"/>
  <c r="G125"/>
  <c r="D125"/>
  <c r="H125" s="1"/>
  <c r="M124"/>
  <c r="G124"/>
  <c r="D124"/>
  <c r="H124" s="1"/>
  <c r="M123"/>
  <c r="G123"/>
  <c r="D123"/>
  <c r="H123" s="1"/>
  <c r="D117"/>
  <c r="F79"/>
  <c r="Z86" s="1"/>
  <c r="F78"/>
  <c r="D81" s="1"/>
  <c r="C40" i="1"/>
  <c r="E72" s="1"/>
  <c r="S39" i="6"/>
  <c r="S38"/>
  <c r="S37"/>
  <c r="S36"/>
  <c r="S35"/>
  <c r="S34"/>
  <c r="S33"/>
  <c r="S32"/>
  <c r="S31"/>
  <c r="S30"/>
  <c r="J64"/>
  <c r="J63"/>
  <c r="J62"/>
  <c r="J61"/>
  <c r="J60"/>
  <c r="J59"/>
  <c r="J50"/>
  <c r="J49"/>
  <c r="J48"/>
  <c r="J47"/>
  <c r="J46"/>
  <c r="J45"/>
  <c r="J38"/>
  <c r="J37"/>
  <c r="J36"/>
  <c r="J35"/>
  <c r="J34"/>
  <c r="J33"/>
  <c r="J28"/>
  <c r="J27"/>
  <c r="J26"/>
  <c r="J25"/>
  <c r="J24"/>
  <c r="J23"/>
  <c r="J18"/>
  <c r="J17"/>
  <c r="J16"/>
  <c r="J15"/>
  <c r="J14"/>
  <c r="J13"/>
  <c r="D64"/>
  <c r="D63"/>
  <c r="D62"/>
  <c r="D61"/>
  <c r="D60"/>
  <c r="D59"/>
  <c r="D50"/>
  <c r="D49"/>
  <c r="D48"/>
  <c r="D47"/>
  <c r="D46"/>
  <c r="D45"/>
  <c r="D38"/>
  <c r="D37"/>
  <c r="D36"/>
  <c r="D35"/>
  <c r="D34"/>
  <c r="D33"/>
  <c r="D28"/>
  <c r="D27"/>
  <c r="D26"/>
  <c r="D25"/>
  <c r="D24"/>
  <c r="D23"/>
  <c r="D17"/>
  <c r="D16"/>
  <c r="D15"/>
  <c r="D14"/>
  <c r="D18"/>
  <c r="D13"/>
  <c r="E242" l="1"/>
  <c r="F242" s="1"/>
  <c r="X81"/>
  <c r="AB81"/>
  <c r="Y86"/>
  <c r="AA81"/>
  <c r="X86"/>
  <c r="AB86"/>
  <c r="Z81"/>
  <c r="AA86"/>
  <c r="Y81"/>
  <c r="P77"/>
  <c r="C42" i="1" s="1"/>
  <c r="I36" s="1"/>
  <c r="I37" s="1"/>
  <c r="H129" i="6"/>
  <c r="H149"/>
  <c r="H175"/>
  <c r="H218"/>
  <c r="H210"/>
  <c r="H202"/>
  <c r="H194"/>
  <c r="I217"/>
  <c r="I216"/>
  <c r="I215"/>
  <c r="I209"/>
  <c r="I208"/>
  <c r="I207"/>
  <c r="I200"/>
  <c r="I199"/>
  <c r="I193"/>
  <c r="I192"/>
  <c r="I191"/>
  <c r="I186"/>
  <c r="I185"/>
  <c r="I184"/>
  <c r="H187"/>
  <c r="I201"/>
  <c r="H161"/>
  <c r="H139"/>
  <c r="I170"/>
  <c r="I174"/>
  <c r="I169"/>
  <c r="I173"/>
  <c r="I172"/>
  <c r="I171"/>
  <c r="I156"/>
  <c r="I160"/>
  <c r="I155"/>
  <c r="I159"/>
  <c r="I158"/>
  <c r="I157"/>
  <c r="I144"/>
  <c r="I148"/>
  <c r="I143"/>
  <c r="I147"/>
  <c r="I146"/>
  <c r="I145"/>
  <c r="I134"/>
  <c r="I138"/>
  <c r="I133"/>
  <c r="I137"/>
  <c r="I136"/>
  <c r="I135"/>
  <c r="I128"/>
  <c r="I127"/>
  <c r="I126"/>
  <c r="I125"/>
  <c r="I124"/>
  <c r="I123"/>
  <c r="D82"/>
  <c r="W86"/>
  <c r="V86"/>
  <c r="U86"/>
  <c r="T86"/>
  <c r="S86"/>
  <c r="R86"/>
  <c r="Q86"/>
  <c r="P86"/>
  <c r="O86"/>
  <c r="N86"/>
  <c r="M86"/>
  <c r="J86"/>
  <c r="L86"/>
  <c r="K86"/>
  <c r="I86"/>
  <c r="H86"/>
  <c r="G86"/>
  <c r="F86"/>
  <c r="E86"/>
  <c r="D86"/>
  <c r="G81"/>
  <c r="K81"/>
  <c r="O81"/>
  <c r="S81"/>
  <c r="W81"/>
  <c r="J81"/>
  <c r="N81"/>
  <c r="R81"/>
  <c r="V81"/>
  <c r="I81"/>
  <c r="M81"/>
  <c r="Q81"/>
  <c r="U81"/>
  <c r="H81"/>
  <c r="L81"/>
  <c r="P81"/>
  <c r="T81"/>
  <c r="F81"/>
  <c r="E81"/>
  <c r="S41"/>
  <c r="D224" s="1"/>
  <c r="Q224" l="1"/>
  <c r="V224"/>
  <c r="F224"/>
  <c r="O224"/>
  <c r="T224"/>
  <c r="AB224"/>
  <c r="U224"/>
  <c r="Z224"/>
  <c r="J224"/>
  <c r="S224"/>
  <c r="X224"/>
  <c r="H224"/>
  <c r="Y224"/>
  <c r="I224"/>
  <c r="N224"/>
  <c r="W224"/>
  <c r="G224"/>
  <c r="L224"/>
  <c r="M224"/>
  <c r="R224"/>
  <c r="AA224"/>
  <c r="K224"/>
  <c r="P224"/>
  <c r="E224"/>
  <c r="G242"/>
  <c r="E74" i="1"/>
  <c r="I218" i="6"/>
  <c r="I210"/>
  <c r="I194"/>
  <c r="I202"/>
  <c r="I187"/>
  <c r="I149"/>
  <c r="I175"/>
  <c r="I161"/>
  <c r="I139"/>
  <c r="I129"/>
  <c r="E82"/>
  <c r="D85"/>
  <c r="H242" l="1"/>
  <c r="F82"/>
  <c r="E85"/>
  <c r="H14"/>
  <c r="H15"/>
  <c r="H16"/>
  <c r="M1"/>
  <c r="M64"/>
  <c r="N64"/>
  <c r="G64"/>
  <c r="H64"/>
  <c r="M63"/>
  <c r="N63"/>
  <c r="G63"/>
  <c r="H63"/>
  <c r="M62"/>
  <c r="N62"/>
  <c r="G62"/>
  <c r="H62"/>
  <c r="M61"/>
  <c r="N61"/>
  <c r="G61"/>
  <c r="H61"/>
  <c r="M60"/>
  <c r="N60"/>
  <c r="G60"/>
  <c r="H60"/>
  <c r="M59"/>
  <c r="N59"/>
  <c r="G59"/>
  <c r="H59"/>
  <c r="M50"/>
  <c r="N50"/>
  <c r="G50"/>
  <c r="H50"/>
  <c r="M49"/>
  <c r="N49"/>
  <c r="G49"/>
  <c r="H49"/>
  <c r="M48"/>
  <c r="N48"/>
  <c r="G48"/>
  <c r="H48"/>
  <c r="M47"/>
  <c r="N47"/>
  <c r="G47"/>
  <c r="H47"/>
  <c r="M46"/>
  <c r="N46"/>
  <c r="G46"/>
  <c r="H46"/>
  <c r="M45"/>
  <c r="N45"/>
  <c r="N51" s="1"/>
  <c r="G45"/>
  <c r="H45"/>
  <c r="M38"/>
  <c r="O38"/>
  <c r="G38"/>
  <c r="I38"/>
  <c r="M37"/>
  <c r="O37"/>
  <c r="G37"/>
  <c r="I37"/>
  <c r="M36"/>
  <c r="N36"/>
  <c r="G36"/>
  <c r="H36"/>
  <c r="M35"/>
  <c r="O35"/>
  <c r="G35"/>
  <c r="I35"/>
  <c r="M34"/>
  <c r="O34"/>
  <c r="G34"/>
  <c r="I34"/>
  <c r="M33"/>
  <c r="O33"/>
  <c r="G33"/>
  <c r="I33" s="1"/>
  <c r="M28"/>
  <c r="O28"/>
  <c r="G28"/>
  <c r="I28"/>
  <c r="M27"/>
  <c r="O27"/>
  <c r="G27"/>
  <c r="I27"/>
  <c r="M26"/>
  <c r="O26"/>
  <c r="G26"/>
  <c r="I26"/>
  <c r="M25"/>
  <c r="O25"/>
  <c r="G25"/>
  <c r="I25"/>
  <c r="M24"/>
  <c r="O24"/>
  <c r="G24"/>
  <c r="I24" s="1"/>
  <c r="M23"/>
  <c r="O23"/>
  <c r="G23"/>
  <c r="I23" s="1"/>
  <c r="M18"/>
  <c r="O18"/>
  <c r="G18"/>
  <c r="I18" s="1"/>
  <c r="M17"/>
  <c r="O17"/>
  <c r="G17"/>
  <c r="I17" s="1"/>
  <c r="M16"/>
  <c r="N16"/>
  <c r="G16"/>
  <c r="M15"/>
  <c r="O15"/>
  <c r="G15"/>
  <c r="M14"/>
  <c r="N14"/>
  <c r="G14"/>
  <c r="M13"/>
  <c r="O13" s="1"/>
  <c r="G13"/>
  <c r="I13" s="1"/>
  <c r="X71" i="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I242" i="6" l="1"/>
  <c r="H51"/>
  <c r="H65"/>
  <c r="N65"/>
  <c r="O29"/>
  <c r="I29"/>
  <c r="P11"/>
  <c r="R11" s="1"/>
  <c r="P12"/>
  <c r="R12" s="1"/>
  <c r="P9"/>
  <c r="R9" s="1"/>
  <c r="P10"/>
  <c r="R10" s="1"/>
  <c r="P7"/>
  <c r="R7" s="1"/>
  <c r="P8"/>
  <c r="R8" s="1"/>
  <c r="P5"/>
  <c r="R5" s="1"/>
  <c r="P6"/>
  <c r="R6" s="1"/>
  <c r="P3"/>
  <c r="R3" s="1"/>
  <c r="P2"/>
  <c r="R2" s="1"/>
  <c r="P4"/>
  <c r="R4" s="1"/>
  <c r="P1"/>
  <c r="P24"/>
  <c r="R24" s="1"/>
  <c r="P22"/>
  <c r="R22" s="1"/>
  <c r="P23"/>
  <c r="R23" s="1"/>
  <c r="P20"/>
  <c r="R20" s="1"/>
  <c r="P21"/>
  <c r="R21" s="1"/>
  <c r="P18"/>
  <c r="R18" s="1"/>
  <c r="P19"/>
  <c r="R19" s="1"/>
  <c r="P16"/>
  <c r="R16" s="1"/>
  <c r="P17"/>
  <c r="R17" s="1"/>
  <c r="P13"/>
  <c r="R13" s="1"/>
  <c r="P15"/>
  <c r="R15" s="1"/>
  <c r="P14"/>
  <c r="R14" s="1"/>
  <c r="G82"/>
  <c r="F85"/>
  <c r="O14"/>
  <c r="H28"/>
  <c r="O60"/>
  <c r="I63"/>
  <c r="I46"/>
  <c r="N33"/>
  <c r="O48"/>
  <c r="I50"/>
  <c r="O16"/>
  <c r="N28"/>
  <c r="N34"/>
  <c r="O46"/>
  <c r="O50"/>
  <c r="H13"/>
  <c r="H17"/>
  <c r="H33"/>
  <c r="H38"/>
  <c r="I48"/>
  <c r="I60"/>
  <c r="O62"/>
  <c r="O63"/>
  <c r="N13"/>
  <c r="N15"/>
  <c r="N17"/>
  <c r="H24"/>
  <c r="N24"/>
  <c r="H26"/>
  <c r="H37"/>
  <c r="N37"/>
  <c r="N38"/>
  <c r="I45"/>
  <c r="I47"/>
  <c r="I49"/>
  <c r="I59"/>
  <c r="I61"/>
  <c r="I14"/>
  <c r="I15"/>
  <c r="I16"/>
  <c r="N26"/>
  <c r="H34"/>
  <c r="O45"/>
  <c r="O47"/>
  <c r="O49"/>
  <c r="O59"/>
  <c r="O61"/>
  <c r="I62"/>
  <c r="I64"/>
  <c r="O64"/>
  <c r="H18"/>
  <c r="N18"/>
  <c r="H23"/>
  <c r="N23"/>
  <c r="H25"/>
  <c r="N25"/>
  <c r="H27"/>
  <c r="N27"/>
  <c r="H35"/>
  <c r="N35"/>
  <c r="I36"/>
  <c r="I39" s="1"/>
  <c r="O36"/>
  <c r="O39" s="1"/>
  <c r="J242" l="1"/>
  <c r="R1"/>
  <c r="O65"/>
  <c r="O51"/>
  <c r="I65"/>
  <c r="I51"/>
  <c r="N39"/>
  <c r="N29"/>
  <c r="H39"/>
  <c r="O19"/>
  <c r="H29"/>
  <c r="N19"/>
  <c r="I19"/>
  <c r="H19"/>
  <c r="H82"/>
  <c r="G85"/>
  <c r="C30" i="1"/>
  <c r="Q53" i="6" s="1"/>
  <c r="K242" l="1"/>
  <c r="R27"/>
  <c r="F26" i="1" s="1"/>
  <c r="E25"/>
  <c r="E26"/>
  <c r="Q52" i="6"/>
  <c r="S52" s="1"/>
  <c r="S53"/>
  <c r="I82"/>
  <c r="H85"/>
  <c r="C41" i="1"/>
  <c r="E54"/>
  <c r="L242" i="6" l="1"/>
  <c r="F25" i="1"/>
  <c r="D25" s="1"/>
  <c r="E73"/>
  <c r="Z73"/>
  <c r="V73"/>
  <c r="R73"/>
  <c r="N73"/>
  <c r="J73"/>
  <c r="F73"/>
  <c r="AA73"/>
  <c r="W73"/>
  <c r="S73"/>
  <c r="O73"/>
  <c r="K73"/>
  <c r="G73"/>
  <c r="AB73"/>
  <c r="X73"/>
  <c r="T73"/>
  <c r="P73"/>
  <c r="L73"/>
  <c r="H73"/>
  <c r="AC73"/>
  <c r="Y73"/>
  <c r="U73"/>
  <c r="Q73"/>
  <c r="M73"/>
  <c r="I73"/>
  <c r="D26"/>
  <c r="F54"/>
  <c r="S55" i="6"/>
  <c r="C33" i="1" s="1"/>
  <c r="J82" i="6"/>
  <c r="I85"/>
  <c r="E55" i="1" l="1"/>
  <c r="E63" s="1"/>
  <c r="F55"/>
  <c r="F63" s="1"/>
  <c r="M242" i="6"/>
  <c r="C35" i="1"/>
  <c r="G54"/>
  <c r="G55" s="1"/>
  <c r="C34"/>
  <c r="K82" i="6"/>
  <c r="J85"/>
  <c r="G63" i="1" l="1"/>
  <c r="N242" i="6"/>
  <c r="E56" i="1"/>
  <c r="D235" i="6" s="1"/>
  <c r="E60" i="1" s="1"/>
  <c r="H54"/>
  <c r="H55" s="1"/>
  <c r="L82" i="6"/>
  <c r="K85"/>
  <c r="H63" i="1" l="1"/>
  <c r="O242" i="6"/>
  <c r="E62" i="1"/>
  <c r="D236" i="6"/>
  <c r="E61" i="1" s="1"/>
  <c r="F56"/>
  <c r="E235" i="6" s="1"/>
  <c r="F60" i="1" s="1"/>
  <c r="I54"/>
  <c r="I55" s="1"/>
  <c r="M82" i="6"/>
  <c r="L85"/>
  <c r="I63" i="1" l="1"/>
  <c r="P242" i="6"/>
  <c r="F62" i="1"/>
  <c r="E236" i="6"/>
  <c r="F61" i="1" s="1"/>
  <c r="J54"/>
  <c r="J55" s="1"/>
  <c r="G56"/>
  <c r="N82" i="6"/>
  <c r="M85"/>
  <c r="J63" i="1" l="1"/>
  <c r="Q242" i="6"/>
  <c r="G62" i="1"/>
  <c r="F235" i="6"/>
  <c r="G60" i="1" s="1"/>
  <c r="K54"/>
  <c r="K55" s="1"/>
  <c r="H56"/>
  <c r="O82" i="6"/>
  <c r="N85"/>
  <c r="K63" i="1" l="1"/>
  <c r="R242" i="6"/>
  <c r="F236"/>
  <c r="G61" i="1" s="1"/>
  <c r="H62"/>
  <c r="G235" i="6"/>
  <c r="H60" i="1" s="1"/>
  <c r="L54"/>
  <c r="L55" s="1"/>
  <c r="I56"/>
  <c r="P82" i="6"/>
  <c r="O85"/>
  <c r="L63" i="1" l="1"/>
  <c r="S242" i="6"/>
  <c r="G236"/>
  <c r="H61" i="1" s="1"/>
  <c r="I62"/>
  <c r="H235" i="6"/>
  <c r="I60" i="1" s="1"/>
  <c r="M54"/>
  <c r="M55" s="1"/>
  <c r="J56"/>
  <c r="Q82" i="6"/>
  <c r="P85"/>
  <c r="M63" i="1" l="1"/>
  <c r="T242" i="6"/>
  <c r="H236"/>
  <c r="I61" i="1" s="1"/>
  <c r="J62"/>
  <c r="I235" i="6"/>
  <c r="J60" i="1" s="1"/>
  <c r="N54"/>
  <c r="N55" s="1"/>
  <c r="K56"/>
  <c r="R82" i="6"/>
  <c r="Q85"/>
  <c r="N63" i="1" l="1"/>
  <c r="U242" i="6"/>
  <c r="I236"/>
  <c r="J61" i="1" s="1"/>
  <c r="K62"/>
  <c r="J235" i="6"/>
  <c r="K60" i="1" s="1"/>
  <c r="O54"/>
  <c r="O55" s="1"/>
  <c r="L56"/>
  <c r="S82" i="6"/>
  <c r="R85"/>
  <c r="O63" i="1" l="1"/>
  <c r="V242" i="6"/>
  <c r="J236"/>
  <c r="K61" i="1" s="1"/>
  <c r="L62"/>
  <c r="K235" i="6"/>
  <c r="L60" i="1" s="1"/>
  <c r="P54"/>
  <c r="P55" s="1"/>
  <c r="M56"/>
  <c r="T82" i="6"/>
  <c r="S85"/>
  <c r="P63" i="1" l="1"/>
  <c r="W242" i="6"/>
  <c r="K236"/>
  <c r="L61" i="1" s="1"/>
  <c r="M62"/>
  <c r="L235" i="6"/>
  <c r="M60" i="1" s="1"/>
  <c r="Q54"/>
  <c r="Q55" s="1"/>
  <c r="N56"/>
  <c r="U82" i="6"/>
  <c r="T85"/>
  <c r="Q63" i="1" l="1"/>
  <c r="X242" i="6"/>
  <c r="L236"/>
  <c r="M61" i="1" s="1"/>
  <c r="N62"/>
  <c r="M235" i="6"/>
  <c r="N60" i="1" s="1"/>
  <c r="R54"/>
  <c r="R55" s="1"/>
  <c r="O56"/>
  <c r="V82" i="6"/>
  <c r="U85"/>
  <c r="R63" i="1" l="1"/>
  <c r="Y242" i="6"/>
  <c r="M236"/>
  <c r="N61" i="1" s="1"/>
  <c r="O62"/>
  <c r="N235" i="6"/>
  <c r="O60" i="1" s="1"/>
  <c r="S54"/>
  <c r="S55" s="1"/>
  <c r="P56"/>
  <c r="W82" i="6"/>
  <c r="V85"/>
  <c r="S63" i="1" l="1"/>
  <c r="Z242" i="6"/>
  <c r="N236"/>
  <c r="O61" i="1" s="1"/>
  <c r="P62"/>
  <c r="O235" i="6"/>
  <c r="P60" i="1" s="1"/>
  <c r="W85" i="6"/>
  <c r="X82"/>
  <c r="T54" i="1"/>
  <c r="T55" s="1"/>
  <c r="Q56"/>
  <c r="T63" l="1"/>
  <c r="AA242" i="6"/>
  <c r="O236"/>
  <c r="P61" i="1" s="1"/>
  <c r="Q62"/>
  <c r="P235" i="6"/>
  <c r="Q60" i="1" s="1"/>
  <c r="X85" i="6"/>
  <c r="Y82"/>
  <c r="U54" i="1"/>
  <c r="U55" s="1"/>
  <c r="R56"/>
  <c r="U63" l="1"/>
  <c r="AB242" i="6"/>
  <c r="P236"/>
  <c r="Q61" i="1" s="1"/>
  <c r="R62"/>
  <c r="Q235" i="6"/>
  <c r="R60" i="1" s="1"/>
  <c r="Y85" i="6"/>
  <c r="Z82"/>
  <c r="V54" i="1"/>
  <c r="V55" s="1"/>
  <c r="S56"/>
  <c r="S59"/>
  <c r="V63" l="1"/>
  <c r="Q236" i="6"/>
  <c r="R61" i="1" s="1"/>
  <c r="S62"/>
  <c r="R235" i="6"/>
  <c r="S60" i="1" s="1"/>
  <c r="T59"/>
  <c r="E59"/>
  <c r="F59"/>
  <c r="G59"/>
  <c r="H59"/>
  <c r="I59"/>
  <c r="J59"/>
  <c r="K59"/>
  <c r="L59"/>
  <c r="M59"/>
  <c r="N59"/>
  <c r="O59"/>
  <c r="P59"/>
  <c r="Q59"/>
  <c r="R59"/>
  <c r="G58"/>
  <c r="H58"/>
  <c r="I58"/>
  <c r="J58"/>
  <c r="K58"/>
  <c r="L58"/>
  <c r="M58"/>
  <c r="N58"/>
  <c r="O58"/>
  <c r="P58"/>
  <c r="Q58"/>
  <c r="R58"/>
  <c r="S58"/>
  <c r="E58"/>
  <c r="F58"/>
  <c r="Z85" i="6"/>
  <c r="AA82"/>
  <c r="W54" i="1"/>
  <c r="W55" s="1"/>
  <c r="T56"/>
  <c r="W63" l="1"/>
  <c r="R236" i="6"/>
  <c r="S61" i="1" s="1"/>
  <c r="S235" i="6"/>
  <c r="T60" i="1" s="1"/>
  <c r="T58"/>
  <c r="T62"/>
  <c r="U59"/>
  <c r="AA85" i="6"/>
  <c r="AB82"/>
  <c r="AB85" s="1"/>
  <c r="X54" i="1"/>
  <c r="X55" s="1"/>
  <c r="U56"/>
  <c r="T235" i="6" s="1"/>
  <c r="U60" i="1" s="1"/>
  <c r="E64"/>
  <c r="F64"/>
  <c r="I64"/>
  <c r="O64"/>
  <c r="L64"/>
  <c r="G64"/>
  <c r="R64"/>
  <c r="Q64"/>
  <c r="J64"/>
  <c r="P64"/>
  <c r="K64"/>
  <c r="H64"/>
  <c r="N64"/>
  <c r="M64"/>
  <c r="Y54" l="1"/>
  <c r="Y55" s="1"/>
  <c r="X63"/>
  <c r="S64"/>
  <c r="S236" i="6"/>
  <c r="T61" i="1" s="1"/>
  <c r="T236" i="6"/>
  <c r="U61" i="1" s="1"/>
  <c r="U58"/>
  <c r="U62"/>
  <c r="V59"/>
  <c r="V56"/>
  <c r="Z54" l="1"/>
  <c r="Z55" s="1"/>
  <c r="Y63"/>
  <c r="T64"/>
  <c r="U235" i="6"/>
  <c r="V60" i="1" s="1"/>
  <c r="V58"/>
  <c r="V62"/>
  <c r="W59"/>
  <c r="U64"/>
  <c r="W56"/>
  <c r="Z63" l="1"/>
  <c r="AA54"/>
  <c r="AA55" s="1"/>
  <c r="U236" i="6"/>
  <c r="V61" i="1" s="1"/>
  <c r="V235" i="6"/>
  <c r="W60" i="1" s="1"/>
  <c r="W58"/>
  <c r="W62"/>
  <c r="X59"/>
  <c r="X56"/>
  <c r="D88" i="6"/>
  <c r="E66" i="1" s="1"/>
  <c r="D67" i="6" s="1"/>
  <c r="AB54" i="1" l="1"/>
  <c r="AB55" s="1"/>
  <c r="AA63"/>
  <c r="V64"/>
  <c r="V236" i="6"/>
  <c r="W61" i="1" s="1"/>
  <c r="W235" i="6"/>
  <c r="X60" i="1" s="1"/>
  <c r="X58"/>
  <c r="X62"/>
  <c r="Y56"/>
  <c r="X235" i="6" s="1"/>
  <c r="Y60" i="1" s="1"/>
  <c r="E88" i="6"/>
  <c r="F66" i="1" s="1"/>
  <c r="E67" i="6" s="1"/>
  <c r="F88"/>
  <c r="G66" i="1" s="1"/>
  <c r="F67" i="6" s="1"/>
  <c r="AC54" i="1" l="1"/>
  <c r="AC55" s="1"/>
  <c r="AB63"/>
  <c r="W64"/>
  <c r="W236" i="6"/>
  <c r="X61" i="1" s="1"/>
  <c r="Y62"/>
  <c r="X236" i="6"/>
  <c r="Y61" i="1" s="1"/>
  <c r="Z56"/>
  <c r="F67"/>
  <c r="F69" s="1"/>
  <c r="G67"/>
  <c r="G88" i="6"/>
  <c r="H66" i="1" s="1"/>
  <c r="G67" i="6" s="1"/>
  <c r="E67" i="1"/>
  <c r="AC63" l="1"/>
  <c r="X64"/>
  <c r="Y64"/>
  <c r="Z62"/>
  <c r="Y235" i="6"/>
  <c r="Z60" i="1" s="1"/>
  <c r="AA56"/>
  <c r="F70"/>
  <c r="E92" i="6"/>
  <c r="E94" s="1"/>
  <c r="E95" s="1"/>
  <c r="G69" i="1"/>
  <c r="G70"/>
  <c r="E70"/>
  <c r="E69"/>
  <c r="F92" i="6"/>
  <c r="F103" s="1"/>
  <c r="F104" s="1"/>
  <c r="D92"/>
  <c r="D106" s="1"/>
  <c r="H67" i="1"/>
  <c r="H88" i="6"/>
  <c r="I66" i="1" s="1"/>
  <c r="H67" i="6" s="1"/>
  <c r="Y236" l="1"/>
  <c r="AA62" i="1"/>
  <c r="Z235" i="6"/>
  <c r="AA60" i="1" s="1"/>
  <c r="AB56"/>
  <c r="E106" i="6"/>
  <c r="E107" s="1"/>
  <c r="E97"/>
  <c r="E98" s="1"/>
  <c r="E100"/>
  <c r="E101" s="1"/>
  <c r="E103"/>
  <c r="E104" s="1"/>
  <c r="H69" i="1"/>
  <c r="H70"/>
  <c r="D97" i="6"/>
  <c r="D98" s="1"/>
  <c r="F106"/>
  <c r="F107" s="1"/>
  <c r="D100"/>
  <c r="D101" s="1"/>
  <c r="D103"/>
  <c r="D104" s="1"/>
  <c r="F97"/>
  <c r="F98" s="1"/>
  <c r="D94"/>
  <c r="D95" s="1"/>
  <c r="F100"/>
  <c r="F101" s="1"/>
  <c r="F94"/>
  <c r="F95" s="1"/>
  <c r="G92"/>
  <c r="I67" i="1"/>
  <c r="I88" i="6"/>
  <c r="J66" i="1" s="1"/>
  <c r="I67" i="6" s="1"/>
  <c r="Z61" i="1" l="1"/>
  <c r="Z64" s="1"/>
  <c r="Z236" i="6"/>
  <c r="AB62" i="1"/>
  <c r="AA235" i="6"/>
  <c r="AB60" i="1" s="1"/>
  <c r="AC56"/>
  <c r="AB235" i="6" s="1"/>
  <c r="AC60" i="1" s="1"/>
  <c r="E110" i="6"/>
  <c r="F68" i="1" s="1"/>
  <c r="F77" s="1"/>
  <c r="I70"/>
  <c r="I69"/>
  <c r="F110" i="6"/>
  <c r="G68" i="1" s="1"/>
  <c r="G106" i="6"/>
  <c r="G100"/>
  <c r="G101" s="1"/>
  <c r="G94"/>
  <c r="G95" s="1"/>
  <c r="G103"/>
  <c r="G104" s="1"/>
  <c r="G97"/>
  <c r="G98" s="1"/>
  <c r="H92"/>
  <c r="J67" i="1"/>
  <c r="J88" i="6"/>
  <c r="K66" i="1" s="1"/>
  <c r="J67" i="6" s="1"/>
  <c r="D107"/>
  <c r="D110" s="1"/>
  <c r="E68" i="1" s="1"/>
  <c r="E77" s="1"/>
  <c r="AA61" l="1"/>
  <c r="AA64" s="1"/>
  <c r="AA236" i="6"/>
  <c r="AC62" i="1"/>
  <c r="AB236" i="6"/>
  <c r="AC61" i="1" s="1"/>
  <c r="J69"/>
  <c r="J70"/>
  <c r="G77"/>
  <c r="E80"/>
  <c r="G107" i="6"/>
  <c r="G110" s="1"/>
  <c r="H68" i="1" s="1"/>
  <c r="K67"/>
  <c r="K88" i="6"/>
  <c r="L66" i="1" s="1"/>
  <c r="K67" i="6" s="1"/>
  <c r="H106"/>
  <c r="H94"/>
  <c r="H95" s="1"/>
  <c r="H100"/>
  <c r="H101" s="1"/>
  <c r="H97"/>
  <c r="H98" s="1"/>
  <c r="H103"/>
  <c r="H104" s="1"/>
  <c r="I92"/>
  <c r="AB61" i="1" l="1"/>
  <c r="AB64" s="1"/>
  <c r="AC64"/>
  <c r="K70"/>
  <c r="K69"/>
  <c r="H77"/>
  <c r="C114" i="6"/>
  <c r="F80" i="1"/>
  <c r="D114" i="6" s="1"/>
  <c r="H107"/>
  <c r="H110" s="1"/>
  <c r="I68" i="1" s="1"/>
  <c r="J92" i="6"/>
  <c r="I94"/>
  <c r="I95" s="1"/>
  <c r="I97"/>
  <c r="I98" s="1"/>
  <c r="I100"/>
  <c r="I101" s="1"/>
  <c r="I106"/>
  <c r="I107" s="1"/>
  <c r="I103"/>
  <c r="I104" s="1"/>
  <c r="L67" i="1"/>
  <c r="L88" i="6"/>
  <c r="M66" i="1" s="1"/>
  <c r="L67" i="6" s="1"/>
  <c r="L69" i="1" l="1"/>
  <c r="L70"/>
  <c r="I77"/>
  <c r="G80"/>
  <c r="I110" i="6"/>
  <c r="J68" i="1" s="1"/>
  <c r="M67"/>
  <c r="M88" i="6"/>
  <c r="N66" i="1" s="1"/>
  <c r="M67" i="6" s="1"/>
  <c r="J94"/>
  <c r="J95" s="1"/>
  <c r="J97"/>
  <c r="J98" s="1"/>
  <c r="J106"/>
  <c r="J103"/>
  <c r="J104" s="1"/>
  <c r="J100"/>
  <c r="J101" s="1"/>
  <c r="K92"/>
  <c r="E114" l="1"/>
  <c r="M70" i="1"/>
  <c r="M69"/>
  <c r="H80"/>
  <c r="J77"/>
  <c r="L92" i="6"/>
  <c r="N67" i="1"/>
  <c r="N88" i="6"/>
  <c r="O66" i="1" s="1"/>
  <c r="N67" i="6" s="1"/>
  <c r="K106"/>
  <c r="K94"/>
  <c r="K95" s="1"/>
  <c r="K100"/>
  <c r="K101" s="1"/>
  <c r="K97"/>
  <c r="K98" s="1"/>
  <c r="K103"/>
  <c r="K104" s="1"/>
  <c r="J107"/>
  <c r="J110" s="1"/>
  <c r="K68" i="1" s="1"/>
  <c r="F114" i="6" l="1"/>
  <c r="N69" i="1"/>
  <c r="N70"/>
  <c r="I80"/>
  <c r="K77"/>
  <c r="K107" i="6"/>
  <c r="K110" s="1"/>
  <c r="L68" i="1" s="1"/>
  <c r="L106" i="6"/>
  <c r="L103"/>
  <c r="L104" s="1"/>
  <c r="L94"/>
  <c r="L95" s="1"/>
  <c r="L100"/>
  <c r="L101" s="1"/>
  <c r="L97"/>
  <c r="L98" s="1"/>
  <c r="M92"/>
  <c r="O67" i="1"/>
  <c r="O88" i="6"/>
  <c r="P66" i="1" s="1"/>
  <c r="O67" i="6" s="1"/>
  <c r="G114" l="1"/>
  <c r="O69" i="1"/>
  <c r="O70"/>
  <c r="J80"/>
  <c r="L77"/>
  <c r="L107" i="6"/>
  <c r="L110" s="1"/>
  <c r="M68" i="1" s="1"/>
  <c r="N92" i="6"/>
  <c r="P67" i="1"/>
  <c r="P88" i="6"/>
  <c r="Q66" i="1" s="1"/>
  <c r="P67" i="6" s="1"/>
  <c r="M100"/>
  <c r="M101" s="1"/>
  <c r="M103"/>
  <c r="M104" s="1"/>
  <c r="M94"/>
  <c r="M95" s="1"/>
  <c r="M106"/>
  <c r="M97"/>
  <c r="M98" s="1"/>
  <c r="H114" l="1"/>
  <c r="P69" i="1"/>
  <c r="P70"/>
  <c r="K80"/>
  <c r="M77"/>
  <c r="M107" i="6"/>
  <c r="M110" s="1"/>
  <c r="N68" i="1" s="1"/>
  <c r="Q67"/>
  <c r="Q88" i="6"/>
  <c r="R66" i="1" s="1"/>
  <c r="Q67" i="6" s="1"/>
  <c r="N106"/>
  <c r="N100"/>
  <c r="N101" s="1"/>
  <c r="N97"/>
  <c r="N98" s="1"/>
  <c r="N103"/>
  <c r="N104" s="1"/>
  <c r="N94"/>
  <c r="N95" s="1"/>
  <c r="O92"/>
  <c r="I114" l="1"/>
  <c r="Q70" i="1"/>
  <c r="Q69"/>
  <c r="L80"/>
  <c r="M80" s="1"/>
  <c r="N77"/>
  <c r="N107" i="6"/>
  <c r="N110" s="1"/>
  <c r="O68" i="1" s="1"/>
  <c r="O103" i="6"/>
  <c r="O104" s="1"/>
  <c r="O106"/>
  <c r="O107" s="1"/>
  <c r="O94"/>
  <c r="O95" s="1"/>
  <c r="O100"/>
  <c r="O101" s="1"/>
  <c r="O97"/>
  <c r="O98" s="1"/>
  <c r="P92"/>
  <c r="R67" i="1"/>
  <c r="R88" i="6"/>
  <c r="S66" i="1" s="1"/>
  <c r="R67" i="6" s="1"/>
  <c r="R70" i="1" l="1"/>
  <c r="R69"/>
  <c r="J114" i="6"/>
  <c r="O77" i="1"/>
  <c r="N80"/>
  <c r="K114" i="6"/>
  <c r="Q92"/>
  <c r="S67" i="1"/>
  <c r="S88" i="6"/>
  <c r="T66" i="1" s="1"/>
  <c r="S67" i="6" s="1"/>
  <c r="P106"/>
  <c r="P107" s="1"/>
  <c r="P97"/>
  <c r="P98" s="1"/>
  <c r="P94"/>
  <c r="P95" s="1"/>
  <c r="P100"/>
  <c r="P101" s="1"/>
  <c r="P103"/>
  <c r="P104" s="1"/>
  <c r="O110"/>
  <c r="P68" i="1" s="1"/>
  <c r="S69" l="1"/>
  <c r="S70"/>
  <c r="P77"/>
  <c r="O80"/>
  <c r="L114" i="6"/>
  <c r="P110"/>
  <c r="Q68" i="1" s="1"/>
  <c r="Q106" i="6"/>
  <c r="Q107" s="1"/>
  <c r="Q100"/>
  <c r="Q101" s="1"/>
  <c r="Q94"/>
  <c r="Q95" s="1"/>
  <c r="Q97"/>
  <c r="Q98" s="1"/>
  <c r="Q103"/>
  <c r="Q104" s="1"/>
  <c r="R92"/>
  <c r="T88"/>
  <c r="U66" i="1" s="1"/>
  <c r="T67" i="6" s="1"/>
  <c r="T67" i="1"/>
  <c r="T70" l="1"/>
  <c r="T69"/>
  <c r="Q77"/>
  <c r="P80"/>
  <c r="M114" i="6"/>
  <c r="S92"/>
  <c r="R106"/>
  <c r="R107" s="1"/>
  <c r="R103"/>
  <c r="R104" s="1"/>
  <c r="R94"/>
  <c r="R95" s="1"/>
  <c r="R97"/>
  <c r="R98" s="1"/>
  <c r="R100"/>
  <c r="R101" s="1"/>
  <c r="U67" i="1"/>
  <c r="U88" i="6"/>
  <c r="V66" i="1" s="1"/>
  <c r="U67" i="6" s="1"/>
  <c r="Q110"/>
  <c r="R68" i="1" s="1"/>
  <c r="U69" l="1"/>
  <c r="U70"/>
  <c r="R77"/>
  <c r="Q80"/>
  <c r="N114" i="6"/>
  <c r="S106"/>
  <c r="S107" s="1"/>
  <c r="S97"/>
  <c r="S98" s="1"/>
  <c r="S94"/>
  <c r="S95" s="1"/>
  <c r="S103"/>
  <c r="S104" s="1"/>
  <c r="S100"/>
  <c r="S101" s="1"/>
  <c r="V67" i="1"/>
  <c r="V88" i="6"/>
  <c r="W66" i="1" s="1"/>
  <c r="V67" i="6" s="1"/>
  <c r="T92"/>
  <c r="R110"/>
  <c r="S68" i="1" s="1"/>
  <c r="V69" l="1"/>
  <c r="V70"/>
  <c r="S77"/>
  <c r="R80"/>
  <c r="O114" i="6"/>
  <c r="S110"/>
  <c r="T68" i="1" s="1"/>
  <c r="U92" i="6"/>
  <c r="W67" i="1"/>
  <c r="W88" i="6"/>
  <c r="X88" s="1"/>
  <c r="Y88" s="1"/>
  <c r="Z88" s="1"/>
  <c r="AA88" s="1"/>
  <c r="AB88" s="1"/>
  <c r="T106"/>
  <c r="T107" s="1"/>
  <c r="T94"/>
  <c r="T95" s="1"/>
  <c r="T97"/>
  <c r="T98" s="1"/>
  <c r="T100"/>
  <c r="T101" s="1"/>
  <c r="T103"/>
  <c r="T104" s="1"/>
  <c r="Y66" i="1" l="1"/>
  <c r="X67" i="6" s="1"/>
  <c r="W69" i="1"/>
  <c r="W70"/>
  <c r="X66"/>
  <c r="W67" i="6" s="1"/>
  <c r="T77" i="1"/>
  <c r="S80"/>
  <c r="P114" i="6"/>
  <c r="U106"/>
  <c r="U107" s="1"/>
  <c r="U97"/>
  <c r="U98" s="1"/>
  <c r="U94"/>
  <c r="U95" s="1"/>
  <c r="U103"/>
  <c r="U104" s="1"/>
  <c r="U100"/>
  <c r="U101" s="1"/>
  <c r="V92"/>
  <c r="T110"/>
  <c r="U68" i="1" s="1"/>
  <c r="Y67" l="1"/>
  <c r="Y69" s="1"/>
  <c r="X67"/>
  <c r="X69" s="1"/>
  <c r="Z66"/>
  <c r="Y67" i="6" s="1"/>
  <c r="U77" i="1"/>
  <c r="T80"/>
  <c r="Q114" i="6"/>
  <c r="V106"/>
  <c r="V107" s="1"/>
  <c r="V100"/>
  <c r="V101" s="1"/>
  <c r="V97"/>
  <c r="V98" s="1"/>
  <c r="V94"/>
  <c r="V95" s="1"/>
  <c r="V103"/>
  <c r="V104" s="1"/>
  <c r="U110"/>
  <c r="V68" i="1" s="1"/>
  <c r="W92" i="6" l="1"/>
  <c r="W97" s="1"/>
  <c r="W98" s="1"/>
  <c r="X70" i="1"/>
  <c r="Y70"/>
  <c r="X92" i="6"/>
  <c r="X97" s="1"/>
  <c r="X98" s="1"/>
  <c r="Z67" i="1"/>
  <c r="Z69" s="1"/>
  <c r="AA66"/>
  <c r="Z67" i="6" s="1"/>
  <c r="V77" i="1"/>
  <c r="U80"/>
  <c r="R114" i="6"/>
  <c r="V110"/>
  <c r="W68" i="1" s="1"/>
  <c r="X94" i="6" l="1"/>
  <c r="X95" s="1"/>
  <c r="W106"/>
  <c r="W107" s="1"/>
  <c r="X100"/>
  <c r="X101" s="1"/>
  <c r="W103"/>
  <c r="W104" s="1"/>
  <c r="X103"/>
  <c r="X104" s="1"/>
  <c r="Y92"/>
  <c r="Y106" s="1"/>
  <c r="Y107" s="1"/>
  <c r="Z70" i="1"/>
  <c r="AA67"/>
  <c r="W100" i="6"/>
  <c r="W101" s="1"/>
  <c r="X106"/>
  <c r="X107" s="1"/>
  <c r="W94"/>
  <c r="W95" s="1"/>
  <c r="AB66" i="1"/>
  <c r="AA67" i="6" s="1"/>
  <c r="AC66" i="1"/>
  <c r="AB67" i="6" s="1"/>
  <c r="W77" i="1"/>
  <c r="V80"/>
  <c r="S114" i="6"/>
  <c r="AA70" i="1" l="1"/>
  <c r="AA69"/>
  <c r="X110" i="6"/>
  <c r="Y68" i="1" s="1"/>
  <c r="Y77" s="1"/>
  <c r="Y103" i="6"/>
  <c r="Y104" s="1"/>
  <c r="Y94"/>
  <c r="Y95" s="1"/>
  <c r="W110"/>
  <c r="X68" i="1" s="1"/>
  <c r="X77" s="1"/>
  <c r="Y97" i="6"/>
  <c r="Y98" s="1"/>
  <c r="Y100"/>
  <c r="Y101" s="1"/>
  <c r="AB67" i="1"/>
  <c r="AB69" s="1"/>
  <c r="Z92" i="6"/>
  <c r="Z103" s="1"/>
  <c r="Z104" s="1"/>
  <c r="AC67" i="1"/>
  <c r="AC69" s="1"/>
  <c r="W80"/>
  <c r="T114" i="6"/>
  <c r="Z106" l="1"/>
  <c r="Z107" s="1"/>
  <c r="Z97"/>
  <c r="Z98" s="1"/>
  <c r="Y110"/>
  <c r="Z68" i="1" s="1"/>
  <c r="Z77" s="1"/>
  <c r="Z94" i="6"/>
  <c r="Z95" s="1"/>
  <c r="Z100"/>
  <c r="Z101" s="1"/>
  <c r="AA92"/>
  <c r="AA106" s="1"/>
  <c r="AA107" s="1"/>
  <c r="AB70" i="1"/>
  <c r="AC70"/>
  <c r="AB92" i="6"/>
  <c r="AB103" s="1"/>
  <c r="AB104" s="1"/>
  <c r="X80" i="1"/>
  <c r="U114" i="6"/>
  <c r="Z110" l="1"/>
  <c r="AA68" i="1" s="1"/>
  <c r="AA77" s="1"/>
  <c r="AA103" i="6"/>
  <c r="AA104" s="1"/>
  <c r="AA97"/>
  <c r="AA98" s="1"/>
  <c r="AA94"/>
  <c r="AA95" s="1"/>
  <c r="AA100"/>
  <c r="AA101" s="1"/>
  <c r="AB106"/>
  <c r="AB107" s="1"/>
  <c r="AB94"/>
  <c r="AB95" s="1"/>
  <c r="AB100"/>
  <c r="AB101" s="1"/>
  <c r="AB97"/>
  <c r="AB98" s="1"/>
  <c r="Y80" i="1"/>
  <c r="Z80" s="1"/>
  <c r="I39"/>
  <c r="V114" i="6"/>
  <c r="AA80" i="1" l="1"/>
  <c r="AB110" i="6"/>
  <c r="AC68" i="1" s="1"/>
  <c r="AC77" s="1"/>
  <c r="AA110" i="6"/>
  <c r="AB68" i="1" s="1"/>
  <c r="AB77" s="1"/>
  <c r="AB80" l="1"/>
  <c r="AC80" s="1"/>
  <c r="I40" s="1"/>
</calcChain>
</file>

<file path=xl/sharedStrings.xml><?xml version="1.0" encoding="utf-8"?>
<sst xmlns="http://schemas.openxmlformats.org/spreadsheetml/2006/main" count="391" uniqueCount="179">
  <si>
    <t>Impianto su edificio</t>
  </si>
  <si>
    <t>Altri impianti</t>
  </si>
  <si>
    <t>Omni</t>
  </si>
  <si>
    <t>Auto</t>
  </si>
  <si>
    <t>Edificio</t>
  </si>
  <si>
    <t>Altro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</si>
  <si>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</si>
  <si>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</si>
  <si>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</si>
  <si>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</si>
  <si>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</si>
  <si>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</si>
  <si>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</si>
  <si>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</si>
  <si>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</si>
  <si>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</si>
  <si>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</si>
  <si>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</si>
  <si>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</si>
  <si>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</si>
  <si>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</si>
  <si>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</si>
  <si>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</si>
  <si>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</si>
  <si>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</si>
  <si>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</si>
  <si>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</si>
  <si>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</si>
  <si>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Autoconsumo</t>
  </si>
  <si>
    <t>Energia immessa in rete</t>
  </si>
  <si>
    <t>Energia acquistata dalla rete</t>
  </si>
  <si>
    <t>Costo dell'impianto (€/kW)</t>
  </si>
  <si>
    <t>€</t>
  </si>
  <si>
    <t>Manutenzione costo annuo</t>
  </si>
  <si>
    <t>Costo acquisto energia (kWh)</t>
  </si>
  <si>
    <t>Valori dal 30-50% (domestico) al 50-70% (industriale)</t>
  </si>
  <si>
    <t>Produttività</t>
  </si>
  <si>
    <t>Altri oneri annui</t>
  </si>
  <si>
    <t>Immessa in rete</t>
  </si>
  <si>
    <t>Risparmio in bolletta</t>
  </si>
  <si>
    <t>Anno 1</t>
  </si>
  <si>
    <t>Manutenzione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</si>
  <si>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</si>
  <si>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</si>
  <si>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</si>
  <si>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</si>
  <si>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</si>
  <si>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</si>
  <si>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</si>
  <si>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</si>
  <si>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</si>
  <si>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</si>
  <si>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</si>
  <si>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</si>
  <si>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</si>
  <si>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</si>
  <si>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</si>
  <si>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</si>
  <si>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</si>
  <si>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</si>
  <si>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</si>
  <si>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</si>
  <si>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</si>
  <si>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kWh/kW</t>
  </si>
  <si>
    <t>Dati da inserire</t>
  </si>
  <si>
    <t>Calcoli automatici</t>
  </si>
  <si>
    <t>Autoconsumo 20%</t>
  </si>
  <si>
    <t>Autoconsumo 30%</t>
  </si>
  <si>
    <t>Autoconsumo 40%</t>
  </si>
  <si>
    <t>Autoconsumo 50%</t>
  </si>
  <si>
    <t>Autoconsumo 60%</t>
  </si>
  <si>
    <t>Autoconsumo 70%</t>
  </si>
  <si>
    <t>Autoconsumo 80%</t>
  </si>
  <si>
    <t>Autoconusmo 90%</t>
  </si>
  <si>
    <t>Autoconsumo 100%</t>
  </si>
  <si>
    <t>Autoconsumo 10%</t>
  </si>
  <si>
    <t>Utilizzo Energia</t>
  </si>
  <si>
    <t>Cessione Totale</t>
  </si>
  <si>
    <t>Leggere sulla bolletta (in cessione totale dato non utilizzato)</t>
  </si>
  <si>
    <t>Spese istruttoria GSE</t>
  </si>
  <si>
    <t>Spese gestione GSE</t>
  </si>
  <si>
    <t>Spese istruttoria</t>
  </si>
  <si>
    <t>Decadimento prestazioni pannelli</t>
  </si>
  <si>
    <t>Aumento annuo consumi energia</t>
  </si>
  <si>
    <t>Consigliato 4-6% annuo</t>
  </si>
  <si>
    <t>Altri oneri una tantum</t>
  </si>
  <si>
    <t>Ammortamento annuo</t>
  </si>
  <si>
    <t>Ammortamento</t>
  </si>
  <si>
    <t>Costo impianto</t>
  </si>
  <si>
    <t>IRPEF</t>
  </si>
  <si>
    <t>IRAP</t>
  </si>
  <si>
    <t>Ammortamenti</t>
  </si>
  <si>
    <t>Impianto soggetto a imposte</t>
  </si>
  <si>
    <t>Aliquota IRAP</t>
  </si>
  <si>
    <t>NO</t>
  </si>
  <si>
    <t>Anno</t>
  </si>
  <si>
    <t>Per sbloccare il foglio di lavoro andare nel menu "revisione" e cliccare su "rimuivi protezione foglio). Per ripristinare la protezione cliccare si "proteggi foglio".</t>
  </si>
  <si>
    <t>Aliquota IRPEF da 0 a 15.000 €</t>
  </si>
  <si>
    <t>Aliquota IRPEF da 15.001 a 28.000 €</t>
  </si>
  <si>
    <t>Aliquota IRPEF da 28.001 a 55.000 €</t>
  </si>
  <si>
    <t>Aliquota IRPEF da 55.001 a 75.000 €</t>
  </si>
  <si>
    <t>Aliquota IRPEF da 75.001 € a salire</t>
  </si>
  <si>
    <t>Produttività (decadimento pannelli 1% annuo)</t>
  </si>
  <si>
    <t>1° semestre 27-08-2012 / 27-02-2013</t>
  </si>
  <si>
    <t>2° Semestre 27-02-2013 / 27-08-2013</t>
  </si>
  <si>
    <t>3° semestre 27-08-2013 / 27-02-2014</t>
  </si>
  <si>
    <t>4° semestre 27-02-2014 / 27-08-2014</t>
  </si>
  <si>
    <t>5° semestre 27-08-2014 / 27-02-2015</t>
  </si>
  <si>
    <t>15-28</t>
  </si>
  <si>
    <t>&lt;15</t>
  </si>
  <si>
    <t>28-55</t>
  </si>
  <si>
    <t>55-75</t>
  </si>
  <si>
    <t>&gt;75</t>
  </si>
  <si>
    <t>Consigliato 0,9% annuo</t>
  </si>
  <si>
    <t>Costo Totale Impianto</t>
  </si>
  <si>
    <t>Aliquota IRES</t>
  </si>
  <si>
    <t>Soggetto a IRES E IRAP (società)</t>
  </si>
  <si>
    <t>Soggetto a IRPEF E IRAP (persona fisica)</t>
  </si>
  <si>
    <t>Soggetto IRPEF (persona fisica)</t>
  </si>
  <si>
    <t>IRES</t>
  </si>
  <si>
    <t>Imponibile IRAP-IRES-IRPEF</t>
  </si>
  <si>
    <t>Installazione</t>
  </si>
  <si>
    <t>Tipo di Impianto</t>
  </si>
  <si>
    <t>Impianti Titolo II</t>
  </si>
  <si>
    <t>Impianti Integrati Titolo III</t>
  </si>
  <si>
    <t>Pergole, serre, tettoie, pensiline</t>
  </si>
  <si>
    <t>IMPIANTI TITOLO III</t>
  </si>
  <si>
    <t>PERGOLE SERRE TETTOIE PENSILINE</t>
  </si>
  <si>
    <t>1-20</t>
  </si>
  <si>
    <t>&gt;200</t>
  </si>
  <si>
    <t>Amministrazioni Pubbliche</t>
  </si>
  <si>
    <t>Irap</t>
  </si>
  <si>
    <t>Irpef</t>
  </si>
  <si>
    <t>Ires</t>
  </si>
  <si>
    <t>Nessuna</t>
  </si>
  <si>
    <t>Oneri connessione Enel</t>
  </si>
  <si>
    <t>Potenza già disponibile</t>
  </si>
  <si>
    <t>Potenza impianto fotovoltaico</t>
  </si>
  <si>
    <t>Allacciamento</t>
  </si>
  <si>
    <t>A) Oneri Enel allacciamento (stima)</t>
  </si>
  <si>
    <t>B) Altri costi una tantum</t>
  </si>
  <si>
    <t>Altri costi (A+B)</t>
  </si>
  <si>
    <t>Ricavo tariffa omnicomprensiva (GSE)</t>
  </si>
  <si>
    <t>Ricavo tariffa autoconsumo (GSE)</t>
  </si>
  <si>
    <t>Tasse</t>
  </si>
  <si>
    <t>Spese</t>
  </si>
  <si>
    <t>Ricavi (GSE)</t>
  </si>
  <si>
    <t>Risparmio (bolletta)</t>
  </si>
  <si>
    <t>Totale Entrate (ricavi + risparmio)</t>
  </si>
  <si>
    <t>Totale Uscite (spese + tasse)</t>
  </si>
  <si>
    <t>Flusso di Cassa (entrate-uscite)</t>
  </si>
  <si>
    <t>Anno 21</t>
  </si>
  <si>
    <t>Anno 22</t>
  </si>
  <si>
    <t>Anno 23</t>
  </si>
  <si>
    <t>Anno 24</t>
  </si>
  <si>
    <t>Anno 25</t>
  </si>
  <si>
    <t>Flusso di cassa finale 20 anni</t>
  </si>
  <si>
    <t>Flusso di cassa finale 25 anni</t>
  </si>
  <si>
    <t>CONSUMI</t>
  </si>
  <si>
    <t>Ricavi Vendita Energia (€/kWh)</t>
  </si>
  <si>
    <t>Per calcolo vendita dal 21° anno</t>
  </si>
  <si>
    <t>Impianto NON in conto energia</t>
  </si>
  <si>
    <t>Scambio 1-20 anni</t>
  </si>
  <si>
    <t>Vendita 1-20 anni</t>
  </si>
  <si>
    <t>IMPOSTE</t>
  </si>
  <si>
    <t>Vendita Energia</t>
  </si>
  <si>
    <t>Smaltiento Amianto, opere edili, autorizzazioni, etc</t>
  </si>
  <si>
    <t>Contributo conto scambio</t>
  </si>
  <si>
    <t>Scambio</t>
  </si>
  <si>
    <t>Eccedenze</t>
  </si>
  <si>
    <t>Contributo Scambio Sul Posto,</t>
  </si>
  <si>
    <t>Liquidazione eccedenze scambio sul posto</t>
  </si>
  <si>
    <t>Azienda Agricola IRES+IRAP (se senza ammortamento)</t>
  </si>
  <si>
    <t>Anni da considerara per altri oneri</t>
  </si>
  <si>
    <t>C) Altri oneri annui</t>
  </si>
  <si>
    <t>anni</t>
  </si>
  <si>
    <t>Costo energia</t>
  </si>
  <si>
    <t>autoconsumo</t>
  </si>
  <si>
    <t>PV-Xcel 5.5 -  Calcolo impianto fotovoltaico Quinto Conto Energia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</si>
</sst>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&quot;€&quot;\ #,##0"/>
    <numFmt numFmtId="167" formatCode="&quot;€&quot;\ #,##0.00"/>
    <numFmt numFmtId="168" formatCode="d/m/yy;@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0"/>
      <name val="Calibri"/>
      <family val="2"/>
    </font>
    <font>
      <b/>
      <u/>
      <sz val="14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B2B2B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0" fontId="0" fillId="0" borderId="14" xfId="0" applyBorder="1" applyAlignment="1" applyProtection="1">
      <alignment horizontal="center"/>
    </xf>
    <xf numFmtId="0" fontId="3" fillId="0" borderId="19" xfId="0" applyFont="1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15" xfId="0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22" xfId="0" applyFont="1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0" borderId="16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0" xfId="0" applyFont="1" applyProtection="1"/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0" fillId="0" borderId="0" xfId="0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3" fontId="0" fillId="0" borderId="0" xfId="0" applyNumberFormat="1" applyFont="1" applyAlignment="1" applyProtection="1">
      <alignment horizontal="center"/>
    </xf>
    <xf numFmtId="166" fontId="10" fillId="0" borderId="12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8" fillId="0" borderId="0" xfId="1" applyFont="1" applyBorder="1" applyAlignment="1" applyProtection="1"/>
    <xf numFmtId="0" fontId="1" fillId="3" borderId="0" xfId="0" applyFont="1" applyFill="1" applyBorder="1" applyProtection="1"/>
    <xf numFmtId="0" fontId="0" fillId="0" borderId="25" xfId="0" applyBorder="1" applyProtection="1"/>
    <xf numFmtId="0" fontId="0" fillId="0" borderId="17" xfId="0" applyBorder="1" applyProtection="1"/>
    <xf numFmtId="0" fontId="0" fillId="0" borderId="14" xfId="0" applyBorder="1" applyProtection="1"/>
    <xf numFmtId="0" fontId="4" fillId="0" borderId="26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26" xfId="0" applyFont="1" applyBorder="1" applyProtection="1"/>
    <xf numFmtId="0" fontId="1" fillId="0" borderId="15" xfId="0" applyFont="1" applyBorder="1" applyProtection="1"/>
    <xf numFmtId="0" fontId="4" fillId="0" borderId="26" xfId="0" applyFont="1" applyBorder="1" applyProtection="1"/>
    <xf numFmtId="0" fontId="4" fillId="0" borderId="27" xfId="0" applyFont="1" applyBorder="1" applyProtection="1"/>
    <xf numFmtId="0" fontId="1" fillId="0" borderId="18" xfId="0" applyFont="1" applyBorder="1" applyProtection="1"/>
    <xf numFmtId="0" fontId="4" fillId="0" borderId="18" xfId="0" applyFont="1" applyBorder="1" applyAlignment="1" applyProtection="1">
      <alignment horizontal="left"/>
    </xf>
    <xf numFmtId="0" fontId="1" fillId="0" borderId="16" xfId="0" applyFont="1" applyBorder="1" applyProtection="1"/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1" fillId="0" borderId="0" xfId="0" applyNumberFormat="1" applyFont="1" applyProtection="1"/>
    <xf numFmtId="0" fontId="4" fillId="0" borderId="0" xfId="0" applyFont="1" applyBorder="1" applyAlignment="1" applyProtection="1"/>
    <xf numFmtId="0" fontId="4" fillId="0" borderId="18" xfId="0" applyFont="1" applyBorder="1" applyProtection="1"/>
    <xf numFmtId="0" fontId="0" fillId="0" borderId="0" xfId="0" applyAlignment="1" applyProtection="1">
      <alignment horizontal="center"/>
    </xf>
    <xf numFmtId="0" fontId="11" fillId="0" borderId="0" xfId="1" applyFont="1" applyBorder="1" applyAlignment="1" applyProtection="1"/>
    <xf numFmtId="0" fontId="12" fillId="0" borderId="0" xfId="1" applyFont="1" applyBorder="1" applyAlignment="1" applyProtection="1"/>
    <xf numFmtId="0" fontId="0" fillId="0" borderId="0" xfId="0" applyAlignment="1" applyProtection="1">
      <alignment horizontal="left"/>
    </xf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2" xfId="0" applyFill="1" applyBorder="1" applyAlignment="1" applyProtection="1"/>
    <xf numFmtId="0" fontId="0" fillId="0" borderId="2" xfId="0" applyBorder="1" applyAlignment="1" applyProtection="1"/>
    <xf numFmtId="0" fontId="0" fillId="0" borderId="0" xfId="0" applyAlignment="1" applyProtection="1">
      <alignment horizontal="right"/>
    </xf>
    <xf numFmtId="0" fontId="0" fillId="0" borderId="4" xfId="0" applyFill="1" applyBorder="1" applyProtection="1"/>
    <xf numFmtId="166" fontId="0" fillId="0" borderId="0" xfId="0" applyNumberFormat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 vertical="center"/>
    </xf>
    <xf numFmtId="164" fontId="10" fillId="2" borderId="0" xfId="0" applyNumberFormat="1" applyFont="1" applyFill="1" applyBorder="1" applyAlignment="1" applyProtection="1">
      <alignment horizontal="right"/>
      <protection locked="0"/>
    </xf>
    <xf numFmtId="165" fontId="10" fillId="2" borderId="0" xfId="0" applyNumberFormat="1" applyFont="1" applyFill="1" applyBorder="1" applyAlignment="1" applyProtection="1">
      <alignment horizontal="right"/>
      <protection locked="0"/>
    </xf>
    <xf numFmtId="167" fontId="4" fillId="0" borderId="0" xfId="0" applyNumberFormat="1" applyFont="1" applyFill="1" applyBorder="1" applyAlignment="1" applyProtection="1"/>
    <xf numFmtId="0" fontId="1" fillId="0" borderId="0" xfId="0" applyFont="1" applyFill="1" applyBorder="1" applyProtection="1"/>
    <xf numFmtId="164" fontId="4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Protection="1"/>
    <xf numFmtId="0" fontId="3" fillId="2" borderId="12" xfId="0" applyFont="1" applyFill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9" fontId="4" fillId="0" borderId="0" xfId="0" applyNumberFormat="1" applyFont="1" applyFill="1" applyBorder="1" applyAlignment="1" applyProtection="1">
      <alignment vertical="center"/>
    </xf>
    <xf numFmtId="1" fontId="3" fillId="3" borderId="0" xfId="0" applyNumberFormat="1" applyFont="1" applyFill="1" applyBorder="1" applyAlignment="1" applyProtection="1">
      <alignment horizontal="right"/>
    </xf>
    <xf numFmtId="164" fontId="7" fillId="0" borderId="18" xfId="0" applyNumberFormat="1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  <protection locked="0"/>
    </xf>
    <xf numFmtId="0" fontId="0" fillId="5" borderId="12" xfId="0" applyFill="1" applyBorder="1" applyProtection="1"/>
    <xf numFmtId="0" fontId="0" fillId="4" borderId="12" xfId="0" applyFill="1" applyBorder="1" applyProtection="1"/>
    <xf numFmtId="0" fontId="3" fillId="0" borderId="0" xfId="0" applyFont="1" applyFill="1" applyBorder="1" applyProtection="1"/>
    <xf numFmtId="166" fontId="3" fillId="0" borderId="9" xfId="0" applyNumberFormat="1" applyFont="1" applyFill="1" applyBorder="1" applyAlignment="1" applyProtection="1">
      <alignment horizontal="center"/>
    </xf>
    <xf numFmtId="166" fontId="3" fillId="0" borderId="10" xfId="0" applyNumberFormat="1" applyFont="1" applyFill="1" applyBorder="1" applyAlignment="1" applyProtection="1">
      <alignment horizontal="center"/>
    </xf>
    <xf numFmtId="166" fontId="3" fillId="0" borderId="11" xfId="0" applyNumberFormat="1" applyFont="1" applyFill="1" applyBorder="1" applyAlignment="1" applyProtection="1">
      <alignment horizontal="center"/>
    </xf>
    <xf numFmtId="166" fontId="0" fillId="5" borderId="0" xfId="0" applyNumberFormat="1" applyFont="1" applyFill="1" applyAlignment="1" applyProtection="1">
      <alignment horizontal="center"/>
    </xf>
    <xf numFmtId="0" fontId="0" fillId="6" borderId="12" xfId="0" applyFill="1" applyBorder="1" applyProtection="1"/>
    <xf numFmtId="166" fontId="0" fillId="6" borderId="0" xfId="0" applyNumberFormat="1" applyFont="1" applyFill="1" applyAlignment="1" applyProtection="1">
      <alignment horizontal="center"/>
    </xf>
    <xf numFmtId="166" fontId="0" fillId="7" borderId="0" xfId="0" applyNumberFormat="1" applyFont="1" applyFill="1" applyAlignment="1" applyProtection="1">
      <alignment horizontal="center"/>
    </xf>
    <xf numFmtId="0" fontId="0" fillId="7" borderId="12" xfId="0" applyFill="1" applyBorder="1" applyProtection="1"/>
    <xf numFmtId="1" fontId="0" fillId="8" borderId="0" xfId="0" applyNumberFormat="1" applyFont="1" applyFill="1" applyAlignment="1" applyProtection="1">
      <alignment horizontal="center"/>
    </xf>
    <xf numFmtId="166" fontId="0" fillId="8" borderId="0" xfId="0" applyNumberFormat="1" applyFont="1" applyFill="1" applyAlignment="1" applyProtection="1">
      <alignment horizontal="center"/>
    </xf>
    <xf numFmtId="0" fontId="4" fillId="5" borderId="0" xfId="0" applyFont="1" applyFill="1" applyProtection="1"/>
    <xf numFmtId="0" fontId="9" fillId="5" borderId="0" xfId="0" applyFont="1" applyFill="1" applyProtection="1"/>
    <xf numFmtId="0" fontId="4" fillId="6" borderId="0" xfId="0" applyFont="1" applyFill="1" applyProtection="1"/>
    <xf numFmtId="0" fontId="9" fillId="6" borderId="0" xfId="0" applyFont="1" applyFill="1" applyProtection="1"/>
    <xf numFmtId="0" fontId="4" fillId="4" borderId="0" xfId="0" applyFont="1" applyFill="1" applyProtection="1"/>
    <xf numFmtId="0" fontId="9" fillId="4" borderId="0" xfId="0" applyFont="1" applyFill="1" applyProtection="1"/>
    <xf numFmtId="0" fontId="4" fillId="7" borderId="0" xfId="0" applyFont="1" applyFill="1" applyProtection="1"/>
    <xf numFmtId="0" fontId="9" fillId="7" borderId="0" xfId="0" applyFont="1" applyFill="1" applyProtection="1"/>
    <xf numFmtId="0" fontId="3" fillId="0" borderId="0" xfId="0" applyFont="1" applyAlignment="1" applyProtection="1">
      <alignment horizontal="center"/>
    </xf>
    <xf numFmtId="167" fontId="4" fillId="3" borderId="0" xfId="0" applyNumberFormat="1" applyFont="1" applyFill="1" applyBorder="1" applyAlignment="1" applyProtection="1"/>
    <xf numFmtId="0" fontId="4" fillId="0" borderId="0" xfId="0" applyFont="1" applyFill="1" applyBorder="1" applyProtection="1"/>
    <xf numFmtId="0" fontId="4" fillId="3" borderId="1" xfId="0" applyFont="1" applyFill="1" applyBorder="1" applyProtection="1"/>
    <xf numFmtId="0" fontId="1" fillId="3" borderId="2" xfId="0" applyFont="1" applyFill="1" applyBorder="1" applyProtection="1"/>
    <xf numFmtId="167" fontId="4" fillId="3" borderId="2" xfId="0" applyNumberFormat="1" applyFont="1" applyFill="1" applyBorder="1" applyAlignment="1" applyProtection="1"/>
    <xf numFmtId="0" fontId="4" fillId="3" borderId="4" xfId="0" applyFont="1" applyFill="1" applyBorder="1" applyProtection="1"/>
    <xf numFmtId="0" fontId="4" fillId="3" borderId="7" xfId="0" applyFont="1" applyFill="1" applyBorder="1" applyProtection="1"/>
    <xf numFmtId="0" fontId="1" fillId="3" borderId="7" xfId="0" applyFont="1" applyFill="1" applyBorder="1" applyProtection="1"/>
    <xf numFmtId="0" fontId="1" fillId="3" borderId="6" xfId="0" applyFont="1" applyFill="1" applyBorder="1" applyProtection="1"/>
    <xf numFmtId="0" fontId="4" fillId="3" borderId="2" xfId="0" applyFont="1" applyFill="1" applyBorder="1" applyProtection="1"/>
    <xf numFmtId="0" fontId="4" fillId="3" borderId="6" xfId="0" applyFont="1" applyFill="1" applyBorder="1" applyProtection="1"/>
    <xf numFmtId="0" fontId="0" fillId="0" borderId="0" xfId="0" applyFill="1" applyAlignment="1" applyProtection="1"/>
    <xf numFmtId="164" fontId="4" fillId="2" borderId="13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/>
    <xf numFmtId="0" fontId="3" fillId="3" borderId="13" xfId="0" applyFont="1" applyFill="1" applyBorder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4" fillId="0" borderId="25" xfId="0" applyFont="1" applyBorder="1" applyProtection="1"/>
    <xf numFmtId="0" fontId="1" fillId="0" borderId="14" xfId="0" applyFont="1" applyBorder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3" borderId="9" xfId="0" applyFont="1" applyFill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166" fontId="4" fillId="3" borderId="7" xfId="0" applyNumberFormat="1" applyFont="1" applyFill="1" applyBorder="1" applyAlignment="1" applyProtection="1">
      <alignment horizontal="right"/>
    </xf>
    <xf numFmtId="0" fontId="4" fillId="3" borderId="8" xfId="0" applyFont="1" applyFill="1" applyBorder="1" applyAlignment="1" applyProtection="1">
      <alignment horizontal="right"/>
    </xf>
    <xf numFmtId="167" fontId="4" fillId="0" borderId="0" xfId="0" applyNumberFormat="1" applyFont="1" applyFill="1" applyBorder="1" applyAlignment="1" applyProtection="1"/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25" xfId="0" applyBorder="1" applyAlignment="1" applyProtection="1">
      <alignment horizontal="left" wrapText="1"/>
    </xf>
    <xf numFmtId="0" fontId="0" fillId="0" borderId="17" xfId="0" applyBorder="1" applyAlignment="1" applyProtection="1">
      <alignment horizontal="left" wrapText="1"/>
    </xf>
    <xf numFmtId="0" fontId="0" fillId="0" borderId="14" xfId="0" applyBorder="1" applyAlignment="1" applyProtection="1">
      <alignment horizontal="left" wrapText="1"/>
    </xf>
    <xf numFmtId="0" fontId="0" fillId="0" borderId="27" xfId="0" applyBorder="1" applyAlignment="1" applyProtection="1">
      <alignment horizontal="left" wrapText="1"/>
    </xf>
    <xf numFmtId="0" fontId="0" fillId="0" borderId="18" xfId="0" applyBorder="1" applyAlignment="1" applyProtection="1">
      <alignment horizontal="left" wrapText="1"/>
    </xf>
    <xf numFmtId="0" fontId="0" fillId="0" borderId="16" xfId="0" applyBorder="1" applyAlignment="1" applyProtection="1">
      <alignment horizontal="left" wrapText="1"/>
    </xf>
    <xf numFmtId="166" fontId="4" fillId="3" borderId="18" xfId="0" applyNumberFormat="1" applyFont="1" applyFill="1" applyBorder="1" applyAlignment="1" applyProtection="1">
      <alignment horizontal="right"/>
    </xf>
    <xf numFmtId="166" fontId="4" fillId="3" borderId="28" xfId="0" applyNumberFormat="1" applyFont="1" applyFill="1" applyBorder="1" applyAlignment="1" applyProtection="1">
      <alignment horizontal="right"/>
    </xf>
    <xf numFmtId="166" fontId="4" fillId="3" borderId="29" xfId="0" applyNumberFormat="1" applyFont="1" applyFill="1" applyBorder="1" applyAlignment="1" applyProtection="1">
      <alignment horizontal="right"/>
    </xf>
    <xf numFmtId="166" fontId="4" fillId="3" borderId="30" xfId="0" applyNumberFormat="1" applyFont="1" applyFill="1" applyBorder="1" applyAlignment="1" applyProtection="1">
      <alignment horizontal="right"/>
    </xf>
    <xf numFmtId="166" fontId="4" fillId="3" borderId="2" xfId="0" applyNumberFormat="1" applyFont="1" applyFill="1" applyBorder="1" applyAlignment="1" applyProtection="1">
      <alignment horizontal="right"/>
    </xf>
    <xf numFmtId="166" fontId="4" fillId="3" borderId="3" xfId="0" applyNumberFormat="1" applyFont="1" applyFill="1" applyBorder="1" applyAlignment="1" applyProtection="1">
      <alignment horizontal="right"/>
    </xf>
    <xf numFmtId="0" fontId="4" fillId="3" borderId="3" xfId="0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</cellXfs>
  <cellStyles count="2">
    <cellStyle name="Collegamento ipertestuale" xfId="1" builtinId="8"/>
    <cellStyle name="Normale" xfId="0" builtinId="0"/>
  </cellStyles>
  <dxfs count="55">
    <dxf>
      <fill>
        <patternFill>
          <bgColor rgb="FFB2B2B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2B2B2"/>
      <color rgb="FFFF9900"/>
      <color rgb="FFFF7C80"/>
      <color rgb="FF99FF66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val>
            <c:numRef>
              <c:f>'Simulazione 5.5'!$E$80:$AC$80</c:f>
              <c:numCache>
                <c:formatCode>"€"\ #,##0</c:formatCode>
                <c:ptCount val="25"/>
                <c:pt idx="0">
                  <c:v>-4143.8</c:v>
                </c:pt>
                <c:pt idx="1">
                  <c:v>-3435.6136000000006</c:v>
                </c:pt>
                <c:pt idx="2">
                  <c:v>-2725.8049795200009</c:v>
                </c:pt>
                <c:pt idx="3">
                  <c:v>-2013.7030964178568</c:v>
                </c:pt>
                <c:pt idx="4">
                  <c:v>-1298.5994795581514</c:v>
                </c:pt>
                <c:pt idx="5">
                  <c:v>-579.74588716945573</c:v>
                </c:pt>
                <c:pt idx="6">
                  <c:v>143.64817728917757</c:v>
                </c:pt>
                <c:pt idx="7">
                  <c:v>872.41810042911493</c:v>
                </c:pt>
                <c:pt idx="8">
                  <c:v>1607.446954604756</c:v>
                </c:pt>
                <c:pt idx="9">
                  <c:v>2349.6684637219805</c:v>
                </c:pt>
                <c:pt idx="10">
                  <c:v>3100.0701495403828</c:v>
                </c:pt>
                <c:pt idx="11">
                  <c:v>3859.6966694571793</c:v>
                </c:pt>
                <c:pt idx="12">
                  <c:v>4629.6533574289397</c:v>
                </c:pt>
                <c:pt idx="13">
                  <c:v>5411.1099803961588</c:v>
                </c:pt>
                <c:pt idx="14">
                  <c:v>6205.3047233276793</c:v>
                </c:pt>
                <c:pt idx="15">
                  <c:v>7063.5484167996883</c:v>
                </c:pt>
                <c:pt idx="16">
                  <c:v>7937.2290218702219</c:v>
                </c:pt>
                <c:pt idx="17">
                  <c:v>8827.8163879077947</c:v>
                </c:pt>
                <c:pt idx="18">
                  <c:v>9736.867299985006</c:v>
                </c:pt>
                <c:pt idx="19">
                  <c:v>10666.030833458168</c:v>
                </c:pt>
                <c:pt idx="20">
                  <c:v>11311.767277645964</c:v>
                </c:pt>
                <c:pt idx="21">
                  <c:v>11980.859354982573</c:v>
                </c:pt>
                <c:pt idx="22">
                  <c:v>12675.209640824773</c:v>
                </c:pt>
                <c:pt idx="23">
                  <c:v>13396.83717096763</c:v>
                </c:pt>
                <c:pt idx="24">
                  <c:v>14147.884617921087</c:v>
                </c:pt>
              </c:numCache>
            </c:numRef>
          </c:val>
        </c:ser>
        <c:axId val="63084032"/>
        <c:axId val="63085568"/>
      </c:barChart>
      <c:catAx>
        <c:axId val="63084032"/>
        <c:scaling>
          <c:orientation val="minMax"/>
        </c:scaling>
        <c:axPos val="b"/>
        <c:tickLblPos val="low"/>
        <c:crossAx val="63085568"/>
        <c:crosses val="autoZero"/>
        <c:auto val="1"/>
        <c:lblAlgn val="ctr"/>
        <c:lblOffset val="100"/>
      </c:catAx>
      <c:valAx>
        <c:axId val="63085568"/>
        <c:scaling>
          <c:orientation val="minMax"/>
        </c:scaling>
        <c:axPos val="l"/>
        <c:majorGridlines/>
        <c:numFmt formatCode="&quot;€&quot;\ #,##0" sourceLinked="1"/>
        <c:tickLblPos val="nextTo"/>
        <c:crossAx val="63084032"/>
        <c:crosses val="autoZero"/>
        <c:crossBetween val="between"/>
      </c:valAx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563306</xdr:colOff>
      <xdr:row>27</xdr:row>
      <xdr:rowOff>143386</xdr:rowOff>
    </xdr:from>
    <xdr:to>
      <xdr:col>21</xdr:col>
      <xdr:colOff>368710</xdr:colOff>
      <xdr:row>47</xdr:row>
      <xdr:rowOff>204837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ewsenergia.com/fotovoltaico-per-tutti-la-produttivita-degli-impianti-0117.html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C86"/>
  <sheetViews>
    <sheetView tabSelected="1" zoomScale="93" zoomScaleNormal="93" workbookViewId="0">
      <selection sqref="A1:G1"/>
    </sheetView>
  </sheetViews>
  <sheetFormatPr defaultRowHeight="15"/>
  <cols>
    <col min="1" max="1" width="14.7109375" style="6" customWidth="1"/>
    <col min="2" max="2" width="20.7109375" style="6" customWidth="1"/>
    <col min="3" max="3" width="8.140625" style="6" customWidth="1"/>
    <col min="4" max="4" width="6.140625" style="6" customWidth="1"/>
    <col min="5" max="29" width="10" style="6" customWidth="1"/>
    <col min="30" max="16384" width="9.140625" style="6"/>
  </cols>
  <sheetData>
    <row r="1" spans="1:17" s="1" customFormat="1" ht="19.5" thickBot="1">
      <c r="A1" s="180" t="s">
        <v>178</v>
      </c>
      <c r="B1" s="181"/>
      <c r="C1" s="181"/>
      <c r="D1" s="181"/>
      <c r="E1" s="181"/>
      <c r="F1" s="181"/>
      <c r="G1" s="182"/>
    </row>
    <row r="2" spans="1:17" ht="13.5" customHeight="1" thickBot="1"/>
    <row r="3" spans="1:17" ht="16.5" thickBot="1">
      <c r="A3" s="8" t="s">
        <v>137</v>
      </c>
      <c r="B3" s="9"/>
      <c r="C3" s="124">
        <v>3</v>
      </c>
      <c r="D3" s="10" t="s">
        <v>12</v>
      </c>
      <c r="H3" s="171"/>
      <c r="I3" s="172" t="s">
        <v>64</v>
      </c>
      <c r="J3" s="172"/>
      <c r="K3" s="173"/>
      <c r="L3" s="172" t="s">
        <v>65</v>
      </c>
      <c r="M3" s="139"/>
      <c r="N3" s="170"/>
      <c r="O3" s="21"/>
      <c r="P3" s="21"/>
      <c r="Q3" s="21"/>
    </row>
    <row r="4" spans="1:17" ht="16.5" thickBot="1">
      <c r="A4" s="8" t="s">
        <v>136</v>
      </c>
      <c r="B4" s="9"/>
      <c r="C4" s="61">
        <v>3</v>
      </c>
      <c r="D4" s="10" t="s">
        <v>12</v>
      </c>
      <c r="H4" s="12"/>
      <c r="I4" s="21"/>
      <c r="J4" s="21"/>
      <c r="K4" s="21"/>
      <c r="L4" s="27"/>
      <c r="M4" s="12"/>
      <c r="N4" s="21"/>
      <c r="O4" s="21"/>
      <c r="P4" s="21"/>
      <c r="Q4" s="21"/>
    </row>
    <row r="5" spans="1:17" ht="9.75" customHeight="1" thickBot="1">
      <c r="A5" s="11"/>
      <c r="B5" s="11"/>
      <c r="C5" s="12"/>
      <c r="D5" s="11"/>
      <c r="J5" s="97"/>
      <c r="K5" s="97"/>
      <c r="L5" s="97"/>
    </row>
    <row r="6" spans="1:17" ht="15.75" customHeight="1">
      <c r="A6" s="13"/>
      <c r="B6" s="14"/>
      <c r="C6" s="14"/>
      <c r="D6" s="14"/>
      <c r="E6" s="15"/>
      <c r="F6" s="16"/>
      <c r="H6" s="98"/>
      <c r="I6" s="99"/>
      <c r="J6" s="100"/>
      <c r="K6" s="100"/>
      <c r="L6" s="101"/>
      <c r="M6" s="15"/>
      <c r="N6" s="15"/>
      <c r="O6" s="16"/>
    </row>
    <row r="7" spans="1:17" ht="15.75">
      <c r="A7" s="186" t="s">
        <v>14</v>
      </c>
      <c r="B7" s="187"/>
      <c r="C7" s="187"/>
      <c r="D7" s="11"/>
      <c r="E7" s="2"/>
      <c r="F7" s="7"/>
      <c r="H7" s="22" t="s">
        <v>92</v>
      </c>
      <c r="I7" s="2"/>
      <c r="J7" s="2"/>
      <c r="K7" s="2"/>
      <c r="L7" s="2"/>
      <c r="M7" s="2"/>
      <c r="N7" s="2"/>
      <c r="O7" s="7"/>
    </row>
    <row r="8" spans="1:17" ht="15.75">
      <c r="A8" s="127"/>
      <c r="B8" s="11"/>
      <c r="C8" s="11"/>
      <c r="D8" s="11"/>
      <c r="E8" s="2"/>
      <c r="F8" s="7"/>
      <c r="H8" s="22"/>
      <c r="I8" s="2"/>
      <c r="J8" s="2"/>
      <c r="K8" s="2"/>
      <c r="L8" s="2"/>
      <c r="M8" s="2"/>
      <c r="N8" s="2"/>
      <c r="O8" s="7"/>
    </row>
    <row r="9" spans="1:17" ht="15.75">
      <c r="A9" s="186" t="s">
        <v>13</v>
      </c>
      <c r="B9" s="187"/>
      <c r="C9" s="187"/>
      <c r="D9" s="11"/>
      <c r="E9" s="2"/>
      <c r="F9" s="7"/>
      <c r="H9" s="22" t="s">
        <v>86</v>
      </c>
      <c r="I9" s="2"/>
      <c r="J9" s="2"/>
      <c r="K9" s="131">
        <v>9</v>
      </c>
      <c r="L9" s="2" t="s">
        <v>61</v>
      </c>
      <c r="M9" s="2"/>
      <c r="N9" s="12"/>
      <c r="O9" s="7"/>
    </row>
    <row r="10" spans="1:17" ht="15.75">
      <c r="A10" s="127"/>
      <c r="B10" s="11"/>
      <c r="C10" s="11"/>
      <c r="D10" s="11"/>
      <c r="E10" s="2"/>
      <c r="F10" s="7"/>
      <c r="H10" s="22"/>
      <c r="I10" s="2"/>
      <c r="J10" s="2"/>
      <c r="K10" s="105"/>
      <c r="L10" s="2"/>
      <c r="M10" s="2"/>
      <c r="N10" s="2"/>
      <c r="O10" s="7"/>
    </row>
    <row r="11" spans="1:17" ht="15.75">
      <c r="A11" s="127" t="s">
        <v>122</v>
      </c>
      <c r="B11" s="11"/>
      <c r="C11" s="11"/>
      <c r="D11" s="11"/>
      <c r="E11" s="2"/>
      <c r="F11" s="7"/>
      <c r="H11" s="22"/>
      <c r="I11" s="2"/>
      <c r="J11" s="2"/>
      <c r="K11" s="105"/>
      <c r="L11" s="2"/>
      <c r="M11" s="2"/>
      <c r="N11" s="2"/>
      <c r="O11" s="7"/>
    </row>
    <row r="12" spans="1:17" ht="15.75">
      <c r="A12" s="127"/>
      <c r="B12" s="11"/>
      <c r="C12" s="11"/>
      <c r="D12" s="11"/>
      <c r="E12" s="2"/>
      <c r="F12" s="7"/>
      <c r="H12" s="22"/>
      <c r="I12" s="2"/>
      <c r="J12" s="2"/>
      <c r="K12" s="105"/>
      <c r="L12" s="2"/>
      <c r="M12" s="2"/>
      <c r="N12" s="2"/>
      <c r="O12" s="7"/>
    </row>
    <row r="13" spans="1:17" ht="15.75">
      <c r="A13" s="186" t="s">
        <v>121</v>
      </c>
      <c r="B13" s="187"/>
      <c r="C13" s="187"/>
      <c r="D13" s="11"/>
      <c r="E13" s="2"/>
      <c r="F13" s="7"/>
      <c r="H13" s="22" t="s">
        <v>97</v>
      </c>
      <c r="I13" s="2"/>
      <c r="J13" s="2"/>
      <c r="K13" s="132"/>
      <c r="L13" s="115">
        <v>23</v>
      </c>
      <c r="M13" s="2" t="s">
        <v>61</v>
      </c>
      <c r="N13" s="2"/>
      <c r="O13" s="7"/>
    </row>
    <row r="14" spans="1:17" ht="15.75">
      <c r="A14" s="22"/>
      <c r="B14" s="2"/>
      <c r="C14" s="2"/>
      <c r="D14" s="2"/>
      <c r="E14" s="2"/>
      <c r="F14" s="7"/>
      <c r="H14" s="22" t="s">
        <v>98</v>
      </c>
      <c r="I14" s="2"/>
      <c r="J14" s="2"/>
      <c r="K14" s="132"/>
      <c r="L14" s="115">
        <v>27</v>
      </c>
      <c r="M14" s="2" t="s">
        <v>61</v>
      </c>
      <c r="N14" s="2"/>
      <c r="O14" s="7"/>
    </row>
    <row r="15" spans="1:17" ht="15.75">
      <c r="A15" s="186" t="s">
        <v>76</v>
      </c>
      <c r="B15" s="187"/>
      <c r="C15" s="187"/>
      <c r="D15" s="11"/>
      <c r="E15" s="2"/>
      <c r="F15" s="7"/>
      <c r="H15" s="22" t="s">
        <v>99</v>
      </c>
      <c r="I15" s="2"/>
      <c r="J15" s="2"/>
      <c r="K15" s="132"/>
      <c r="L15" s="115">
        <v>38</v>
      </c>
      <c r="M15" s="2" t="s">
        <v>61</v>
      </c>
      <c r="N15" s="2"/>
      <c r="O15" s="7"/>
    </row>
    <row r="16" spans="1:17" ht="15.75">
      <c r="A16" s="22"/>
      <c r="B16" s="2"/>
      <c r="C16" s="2"/>
      <c r="D16" s="2"/>
      <c r="E16" s="2"/>
      <c r="F16" s="7"/>
      <c r="H16" s="22" t="s">
        <v>100</v>
      </c>
      <c r="I16" s="2"/>
      <c r="J16" s="2"/>
      <c r="K16" s="132"/>
      <c r="L16" s="115">
        <v>41</v>
      </c>
      <c r="M16" s="2" t="s">
        <v>61</v>
      </c>
      <c r="N16" s="2"/>
      <c r="O16" s="7"/>
    </row>
    <row r="17" spans="1:19" ht="15.75">
      <c r="A17" s="24"/>
      <c r="B17" s="25"/>
      <c r="C17" s="25"/>
      <c r="D17" s="2"/>
      <c r="E17" s="2"/>
      <c r="F17" s="7"/>
      <c r="H17" s="22" t="s">
        <v>101</v>
      </c>
      <c r="I17" s="2"/>
      <c r="J17" s="2"/>
      <c r="K17" s="132"/>
      <c r="L17" s="115">
        <v>43</v>
      </c>
      <c r="M17" s="2" t="s">
        <v>61</v>
      </c>
      <c r="N17" s="2"/>
      <c r="O17" s="7"/>
    </row>
    <row r="18" spans="1:19" ht="15.75">
      <c r="A18" s="186" t="s">
        <v>18</v>
      </c>
      <c r="B18" s="187"/>
      <c r="C18" s="187"/>
      <c r="D18" s="2"/>
      <c r="E18" s="2"/>
      <c r="F18" s="7"/>
      <c r="H18" s="22"/>
      <c r="I18" s="2"/>
      <c r="J18" s="2"/>
      <c r="K18" s="2"/>
      <c r="L18" s="2"/>
      <c r="M18" s="2"/>
      <c r="N18" s="2"/>
      <c r="O18" s="7"/>
    </row>
    <row r="19" spans="1:19" ht="15.75">
      <c r="A19" s="22"/>
      <c r="B19" s="2"/>
      <c r="C19" s="2"/>
      <c r="D19" s="2"/>
      <c r="E19" s="2"/>
      <c r="F19" s="7"/>
      <c r="H19" s="103" t="s">
        <v>93</v>
      </c>
      <c r="I19" s="2"/>
      <c r="J19" s="2"/>
      <c r="K19" s="115">
        <v>3.9</v>
      </c>
      <c r="L19" s="2" t="s">
        <v>61</v>
      </c>
      <c r="M19" s="2"/>
      <c r="N19" s="2"/>
      <c r="O19" s="7"/>
    </row>
    <row r="20" spans="1:19" ht="15.75" customHeight="1">
      <c r="A20" s="22"/>
      <c r="B20" s="2"/>
      <c r="C20" s="2"/>
      <c r="D20" s="2"/>
      <c r="E20" s="2"/>
      <c r="F20" s="7"/>
      <c r="H20" s="22"/>
      <c r="I20" s="2"/>
      <c r="J20" s="2"/>
      <c r="K20" s="2"/>
      <c r="L20" s="2"/>
      <c r="M20" s="2"/>
      <c r="N20" s="2"/>
      <c r="O20" s="7"/>
    </row>
    <row r="21" spans="1:19" ht="17.25" customHeight="1">
      <c r="A21" s="22"/>
      <c r="B21" s="2"/>
      <c r="C21" s="2"/>
      <c r="D21" s="2"/>
      <c r="E21" s="2"/>
      <c r="F21" s="7"/>
      <c r="H21" s="103" t="s">
        <v>115</v>
      </c>
      <c r="I21" s="2"/>
      <c r="J21" s="2"/>
      <c r="K21" s="115">
        <v>27.5</v>
      </c>
      <c r="L21" s="2" t="s">
        <v>61</v>
      </c>
      <c r="M21" s="2"/>
      <c r="N21" s="2"/>
      <c r="O21" s="7"/>
    </row>
    <row r="22" spans="1:19" ht="8.25" customHeight="1" thickBot="1">
      <c r="A22" s="29"/>
      <c r="B22" s="19"/>
      <c r="C22" s="19"/>
      <c r="D22" s="19"/>
      <c r="E22" s="19"/>
      <c r="F22" s="20"/>
      <c r="H22" s="29"/>
      <c r="I22" s="19"/>
      <c r="J22" s="19"/>
      <c r="K22" s="19"/>
      <c r="L22" s="19"/>
      <c r="M22" s="19"/>
      <c r="N22" s="19"/>
      <c r="O22" s="20"/>
    </row>
    <row r="23" spans="1:19" ht="13.5" customHeight="1" thickBot="1"/>
    <row r="24" spans="1:19" ht="15.75" thickBot="1">
      <c r="D24" s="119" t="s">
        <v>22</v>
      </c>
      <c r="E24" s="121" t="s">
        <v>21</v>
      </c>
      <c r="F24" s="30" t="s">
        <v>23</v>
      </c>
      <c r="H24" s="188" t="s">
        <v>96</v>
      </c>
      <c r="I24" s="189"/>
      <c r="J24" s="189"/>
      <c r="K24" s="189"/>
      <c r="L24" s="189"/>
      <c r="M24" s="189"/>
      <c r="N24" s="189"/>
      <c r="O24" s="190"/>
    </row>
    <row r="25" spans="1:19">
      <c r="A25" s="31" t="s">
        <v>19</v>
      </c>
      <c r="B25" s="32"/>
      <c r="C25" s="33"/>
      <c r="D25" s="120">
        <f>IF(Calcoli!D1&lt;6,E25+F25,0)</f>
        <v>228</v>
      </c>
      <c r="E25" s="122">
        <f>Calcoli!H19+Calcoli!H29+Calcoli!H39+Calcoli!H51+Calcoli!H65+Calcoli!N19+Calcoli!N29+Calcoli!N39+Calcoli!N51+Calcoli!N65+Calcoli!H129+Calcoli!H139+Calcoli!H149+Calcoli!H161+Calcoli!H175+Calcoli!H187+Calcoli!H194+Calcoli!H202+Calcoli!H210+Calcoli!H218</f>
        <v>208</v>
      </c>
      <c r="F25" s="34">
        <f>IF(Calcoli!$H$9&lt;3,Calcoli!$R$27,0)</f>
        <v>20</v>
      </c>
      <c r="H25" s="191"/>
      <c r="I25" s="192"/>
      <c r="J25" s="192"/>
      <c r="K25" s="192"/>
      <c r="L25" s="192"/>
      <c r="M25" s="192"/>
      <c r="N25" s="192"/>
      <c r="O25" s="193"/>
    </row>
    <row r="26" spans="1:19" ht="15.75" thickBot="1">
      <c r="A26" s="38" t="s">
        <v>20</v>
      </c>
      <c r="B26" s="39"/>
      <c r="C26" s="40"/>
      <c r="D26" s="120">
        <f>IF(Calcoli!D1&lt;6,E26+F26,0)</f>
        <v>146</v>
      </c>
      <c r="E26" s="123">
        <f>Calcoli!I19+Calcoli!I29+Calcoli!I39+Calcoli!I51+Calcoli!I65+Calcoli!O19+Calcoli!O29+Calcoli!O39+Calcoli!O51+Calcoli!O65+Calcoli!I129+Calcoli!I139+Calcoli!I149+Calcoli!I161+Calcoli!I175+Calcoli!I187+Calcoli!I194+Calcoli!I202+Calcoli!I210+Calcoli!I218</f>
        <v>126</v>
      </c>
      <c r="F26" s="41">
        <f>IF(Calcoli!$H$9&lt;3,Calcoli!$R$27,0)</f>
        <v>20</v>
      </c>
    </row>
    <row r="27" spans="1:19" ht="12.75" customHeight="1">
      <c r="A27" s="43"/>
      <c r="B27" s="2"/>
      <c r="C27" s="2"/>
      <c r="D27" s="44"/>
      <c r="E27" s="129"/>
      <c r="F27" s="129"/>
      <c r="S27" s="102"/>
    </row>
    <row r="28" spans="1:19" ht="12.75" customHeight="1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3"/>
      <c r="S28" s="102"/>
    </row>
    <row r="29" spans="1:19" s="46" customFormat="1" ht="22.5" customHeight="1">
      <c r="A29" s="74" t="s">
        <v>36</v>
      </c>
      <c r="B29" s="133"/>
      <c r="C29" s="108">
        <v>1200</v>
      </c>
      <c r="D29" s="45" t="s">
        <v>63</v>
      </c>
      <c r="E29" s="69"/>
      <c r="F29" s="96" t="s">
        <v>25</v>
      </c>
      <c r="G29" s="95"/>
      <c r="H29" s="69"/>
      <c r="I29" s="69"/>
      <c r="J29" s="54"/>
      <c r="K29" s="75"/>
    </row>
    <row r="30" spans="1:19" s="50" customFormat="1" ht="15.75">
      <c r="A30" s="76" t="s">
        <v>26</v>
      </c>
      <c r="B30" s="11"/>
      <c r="C30" s="109">
        <f>$C$3*C29</f>
        <v>3600</v>
      </c>
      <c r="D30" s="85" t="s">
        <v>24</v>
      </c>
      <c r="E30" s="11"/>
      <c r="F30" s="11"/>
      <c r="G30" s="11"/>
      <c r="H30" s="11"/>
      <c r="I30" s="11"/>
      <c r="J30" s="11"/>
      <c r="K30" s="77"/>
    </row>
    <row r="31" spans="1:19" s="50" customFormat="1" ht="15.75">
      <c r="A31" s="76" t="s">
        <v>27</v>
      </c>
      <c r="B31" s="11"/>
      <c r="C31" s="108">
        <v>3600</v>
      </c>
      <c r="D31" s="85" t="s">
        <v>24</v>
      </c>
      <c r="E31" s="92" t="s">
        <v>78</v>
      </c>
      <c r="F31" s="92"/>
      <c r="G31" s="92"/>
      <c r="H31" s="92"/>
      <c r="I31" s="85"/>
      <c r="J31" s="11"/>
      <c r="K31" s="77"/>
    </row>
    <row r="32" spans="1:19" s="50" customFormat="1" ht="15.75">
      <c r="A32" s="76"/>
      <c r="B32" s="11"/>
      <c r="C32" s="136"/>
      <c r="D32" s="128"/>
      <c r="E32" s="128"/>
      <c r="F32" s="128"/>
      <c r="G32" s="128"/>
      <c r="H32" s="128"/>
      <c r="I32" s="128"/>
      <c r="J32" s="11"/>
      <c r="K32" s="77"/>
    </row>
    <row r="33" spans="1:11" s="46" customFormat="1" ht="22.5" customHeight="1">
      <c r="A33" s="74" t="s">
        <v>28</v>
      </c>
      <c r="B33" s="133"/>
      <c r="C33" s="110">
        <f>Calcoli!S55</f>
        <v>1800</v>
      </c>
      <c r="D33" s="45" t="s">
        <v>24</v>
      </c>
      <c r="E33" s="54" t="s">
        <v>35</v>
      </c>
      <c r="F33" s="54"/>
      <c r="G33" s="54"/>
      <c r="H33" s="54"/>
      <c r="I33" s="45"/>
      <c r="J33" s="54"/>
      <c r="K33" s="75"/>
    </row>
    <row r="34" spans="1:11" s="50" customFormat="1" ht="16.5" thickBot="1">
      <c r="A34" s="78" t="s">
        <v>29</v>
      </c>
      <c r="B34" s="55"/>
      <c r="C34" s="109">
        <f>IF(Calcoli!Q49=1,C30-C33,C30)</f>
        <v>1800</v>
      </c>
      <c r="D34" s="85" t="s">
        <v>24</v>
      </c>
      <c r="E34" s="55"/>
      <c r="F34" s="55"/>
      <c r="G34" s="55"/>
      <c r="H34" s="55"/>
      <c r="I34" s="55"/>
      <c r="J34" s="55"/>
      <c r="K34" s="77"/>
    </row>
    <row r="35" spans="1:11" s="50" customFormat="1" ht="15.75">
      <c r="A35" s="78" t="s">
        <v>30</v>
      </c>
      <c r="B35" s="11"/>
      <c r="C35" s="109">
        <f>IF(Calcoli!Q49=1,C31-C33,0)</f>
        <v>1800</v>
      </c>
      <c r="D35" s="85" t="s">
        <v>24</v>
      </c>
      <c r="E35" s="11"/>
      <c r="F35" s="161" t="s">
        <v>114</v>
      </c>
      <c r="G35" s="162"/>
      <c r="H35" s="163"/>
      <c r="I35" s="198">
        <f>C3*C37</f>
        <v>4500</v>
      </c>
      <c r="J35" s="199"/>
      <c r="K35" s="77"/>
    </row>
    <row r="36" spans="1:11" s="50" customFormat="1" ht="16.5" thickBot="1">
      <c r="A36" s="78"/>
      <c r="B36" s="11"/>
      <c r="C36" s="105"/>
      <c r="D36" s="85"/>
      <c r="E36" s="11"/>
      <c r="F36" s="164" t="s">
        <v>141</v>
      </c>
      <c r="G36" s="70"/>
      <c r="H36" s="159"/>
      <c r="I36" s="194">
        <f>C42+C43</f>
        <v>342</v>
      </c>
      <c r="J36" s="195"/>
      <c r="K36" s="77"/>
    </row>
    <row r="37" spans="1:11" s="50" customFormat="1" ht="16.5" thickBot="1">
      <c r="A37" s="78" t="s">
        <v>31</v>
      </c>
      <c r="B37" s="11"/>
      <c r="C37" s="126">
        <v>1500</v>
      </c>
      <c r="D37" s="85" t="s">
        <v>32</v>
      </c>
      <c r="E37" s="160"/>
      <c r="F37" s="167"/>
      <c r="G37" s="165" t="s">
        <v>22</v>
      </c>
      <c r="H37" s="166"/>
      <c r="I37" s="196">
        <f>SUM(I35:J36)</f>
        <v>4842</v>
      </c>
      <c r="J37" s="197"/>
      <c r="K37" s="77"/>
    </row>
    <row r="38" spans="1:11" s="50" customFormat="1" ht="16.5" thickBot="1">
      <c r="A38" s="78" t="s">
        <v>33</v>
      </c>
      <c r="B38" s="11"/>
      <c r="C38" s="108">
        <v>150</v>
      </c>
      <c r="D38" s="85" t="s">
        <v>32</v>
      </c>
      <c r="E38" s="160"/>
      <c r="F38" s="114"/>
      <c r="G38" s="113"/>
      <c r="H38" s="185"/>
      <c r="I38" s="185"/>
      <c r="J38" s="113"/>
      <c r="K38" s="77"/>
    </row>
    <row r="39" spans="1:11" s="50" customFormat="1" ht="15.75">
      <c r="A39" s="78" t="s">
        <v>83</v>
      </c>
      <c r="B39" s="11"/>
      <c r="C39" s="111">
        <v>2</v>
      </c>
      <c r="D39" s="85" t="s">
        <v>61</v>
      </c>
      <c r="E39" s="114"/>
      <c r="F39" s="161" t="s">
        <v>156</v>
      </c>
      <c r="G39" s="168"/>
      <c r="H39" s="168"/>
      <c r="I39" s="198">
        <f>X80</f>
        <v>10666.030833458168</v>
      </c>
      <c r="J39" s="200"/>
      <c r="K39" s="77"/>
    </row>
    <row r="40" spans="1:11" s="50" customFormat="1" ht="16.5" thickBot="1">
      <c r="A40" s="78" t="s">
        <v>79</v>
      </c>
      <c r="B40" s="11"/>
      <c r="C40" s="109">
        <f>IF(C3&lt;20,C3*3,60+((C3-20)*2))</f>
        <v>9</v>
      </c>
      <c r="D40" s="85" t="s">
        <v>32</v>
      </c>
      <c r="E40" s="11"/>
      <c r="F40" s="169" t="s">
        <v>157</v>
      </c>
      <c r="G40" s="165"/>
      <c r="H40" s="165"/>
      <c r="I40" s="183">
        <f>AC80</f>
        <v>14147.884617921087</v>
      </c>
      <c r="J40" s="184"/>
      <c r="K40" s="77"/>
    </row>
    <row r="41" spans="1:11" s="50" customFormat="1" ht="15.75">
      <c r="A41" s="78" t="s">
        <v>80</v>
      </c>
      <c r="B41" s="11"/>
      <c r="C41" s="134">
        <f>0.0005*C30</f>
        <v>1.8</v>
      </c>
      <c r="D41" s="85" t="s">
        <v>32</v>
      </c>
      <c r="E41" s="114"/>
      <c r="F41" s="114"/>
      <c r="G41" s="114"/>
      <c r="H41" s="114"/>
      <c r="I41" s="114"/>
      <c r="J41" s="11"/>
      <c r="K41" s="77"/>
    </row>
    <row r="42" spans="1:11" s="50" customFormat="1" ht="15.75">
      <c r="A42" s="78" t="s">
        <v>139</v>
      </c>
      <c r="B42" s="11"/>
      <c r="C42" s="109">
        <f>IF(Calcoli!O77&lt;0,Calcoli!P77,(C3-C4)*55+Calcoli!P77)</f>
        <v>242</v>
      </c>
      <c r="D42" s="85" t="s">
        <v>32</v>
      </c>
      <c r="E42" s="55"/>
      <c r="F42" s="11"/>
      <c r="G42" s="11"/>
      <c r="H42" s="11"/>
      <c r="I42" s="11"/>
      <c r="J42" s="11"/>
      <c r="K42" s="77"/>
    </row>
    <row r="43" spans="1:11" s="50" customFormat="1" ht="15.75">
      <c r="A43" s="78" t="s">
        <v>140</v>
      </c>
      <c r="B43" s="11"/>
      <c r="C43" s="108">
        <v>100</v>
      </c>
      <c r="D43" s="85" t="s">
        <v>32</v>
      </c>
      <c r="E43" s="55" t="s">
        <v>166</v>
      </c>
      <c r="F43" s="11"/>
      <c r="G43" s="11"/>
      <c r="H43" s="11"/>
      <c r="I43" s="11"/>
      <c r="J43" s="11"/>
      <c r="K43" s="77"/>
    </row>
    <row r="44" spans="1:11" s="50" customFormat="1" ht="15.75">
      <c r="A44" s="176" t="s">
        <v>174</v>
      </c>
      <c r="B44" s="177"/>
      <c r="C44" s="108">
        <v>50</v>
      </c>
      <c r="D44" s="85" t="s">
        <v>32</v>
      </c>
      <c r="E44" s="11"/>
      <c r="F44" s="11"/>
      <c r="G44" s="11"/>
      <c r="H44" s="11"/>
      <c r="I44" s="11"/>
      <c r="J44" s="11"/>
      <c r="K44" s="77"/>
    </row>
    <row r="45" spans="1:11" s="50" customFormat="1" ht="15.75">
      <c r="A45" s="79" t="s">
        <v>173</v>
      </c>
      <c r="B45" s="82"/>
      <c r="C45" s="108">
        <v>15</v>
      </c>
      <c r="D45" s="85" t="s">
        <v>175</v>
      </c>
      <c r="E45" s="11"/>
      <c r="F45" s="11"/>
      <c r="G45" s="11"/>
      <c r="H45" s="11"/>
      <c r="I45" s="11"/>
      <c r="J45" s="11"/>
      <c r="K45" s="77"/>
    </row>
    <row r="46" spans="1:11" s="50" customFormat="1" ht="15.75">
      <c r="A46" s="78" t="s">
        <v>34</v>
      </c>
      <c r="B46" s="11"/>
      <c r="C46" s="112">
        <v>0.18</v>
      </c>
      <c r="D46" s="85" t="s">
        <v>32</v>
      </c>
      <c r="E46" s="11"/>
      <c r="F46" s="11"/>
      <c r="G46" s="11"/>
      <c r="H46" s="11"/>
      <c r="I46" s="11"/>
      <c r="J46" s="11"/>
      <c r="K46" s="77"/>
    </row>
    <row r="47" spans="1:11" s="50" customFormat="1" ht="15.75">
      <c r="A47" s="78" t="s">
        <v>159</v>
      </c>
      <c r="B47" s="11"/>
      <c r="C47" s="112">
        <v>0.11</v>
      </c>
      <c r="D47" s="85" t="s">
        <v>32</v>
      </c>
      <c r="E47" s="55" t="s">
        <v>160</v>
      </c>
      <c r="F47" s="11"/>
      <c r="G47" s="11"/>
      <c r="H47" s="11"/>
      <c r="I47" s="11"/>
      <c r="J47" s="11"/>
      <c r="K47" s="77"/>
    </row>
    <row r="48" spans="1:11" s="50" customFormat="1" ht="15.75">
      <c r="A48" s="78" t="s">
        <v>82</v>
      </c>
      <c r="B48" s="11"/>
      <c r="C48" s="111">
        <v>0.9</v>
      </c>
      <c r="D48" s="85" t="s">
        <v>61</v>
      </c>
      <c r="E48" s="55" t="s">
        <v>113</v>
      </c>
      <c r="F48" s="11"/>
      <c r="G48" s="11"/>
      <c r="H48" s="11"/>
      <c r="I48" s="11"/>
      <c r="J48" s="11"/>
      <c r="K48" s="77"/>
    </row>
    <row r="49" spans="1:29" s="50" customFormat="1" ht="15.75">
      <c r="A49" s="78" t="s">
        <v>62</v>
      </c>
      <c r="B49" s="11"/>
      <c r="C49" s="111">
        <v>4</v>
      </c>
      <c r="D49" s="85" t="s">
        <v>61</v>
      </c>
      <c r="E49" s="55" t="s">
        <v>84</v>
      </c>
      <c r="F49" s="11"/>
      <c r="G49" s="11"/>
      <c r="H49" s="11"/>
      <c r="I49" s="11"/>
      <c r="J49" s="11"/>
      <c r="K49" s="77"/>
    </row>
    <row r="50" spans="1:29" s="50" customFormat="1" ht="9" customHeight="1">
      <c r="A50" s="79"/>
      <c r="B50" s="80"/>
      <c r="C50" s="135"/>
      <c r="D50" s="81"/>
      <c r="E50" s="93"/>
      <c r="F50" s="80"/>
      <c r="G50" s="80"/>
      <c r="H50" s="80"/>
      <c r="I50" s="80"/>
      <c r="J50" s="80"/>
      <c r="K50" s="82"/>
    </row>
    <row r="52" spans="1:29">
      <c r="A52" s="60"/>
      <c r="B52" s="60"/>
      <c r="C52" s="60"/>
      <c r="D52" s="60"/>
      <c r="E52" s="130" t="s">
        <v>40</v>
      </c>
      <c r="F52" s="130" t="s">
        <v>42</v>
      </c>
      <c r="G52" s="130" t="s">
        <v>43</v>
      </c>
      <c r="H52" s="130" t="s">
        <v>44</v>
      </c>
      <c r="I52" s="130" t="s">
        <v>45</v>
      </c>
      <c r="J52" s="130" t="s">
        <v>46</v>
      </c>
      <c r="K52" s="130" t="s">
        <v>47</v>
      </c>
      <c r="L52" s="130" t="s">
        <v>48</v>
      </c>
      <c r="M52" s="130" t="s">
        <v>49</v>
      </c>
      <c r="N52" s="130" t="s">
        <v>50</v>
      </c>
      <c r="O52" s="130" t="s">
        <v>51</v>
      </c>
      <c r="P52" s="130" t="s">
        <v>52</v>
      </c>
      <c r="Q52" s="130" t="s">
        <v>53</v>
      </c>
      <c r="R52" s="130" t="s">
        <v>54</v>
      </c>
      <c r="S52" s="130" t="s">
        <v>55</v>
      </c>
      <c r="T52" s="130" t="s">
        <v>56</v>
      </c>
      <c r="U52" s="130" t="s">
        <v>57</v>
      </c>
      <c r="V52" s="130" t="s">
        <v>58</v>
      </c>
      <c r="W52" s="130" t="s">
        <v>59</v>
      </c>
      <c r="X52" s="130" t="s">
        <v>60</v>
      </c>
      <c r="Y52" s="158" t="s">
        <v>151</v>
      </c>
      <c r="Z52" s="158" t="s">
        <v>152</v>
      </c>
      <c r="AA52" s="158" t="s">
        <v>153</v>
      </c>
      <c r="AB52" s="158" t="s">
        <v>154</v>
      </c>
      <c r="AC52" s="158" t="s">
        <v>155</v>
      </c>
    </row>
    <row r="53" spans="1:29">
      <c r="A53" s="60"/>
      <c r="B53" s="60"/>
      <c r="C53" s="60"/>
      <c r="D53" s="60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</row>
    <row r="54" spans="1:29" ht="15.75">
      <c r="A54" s="62" t="s">
        <v>102</v>
      </c>
      <c r="B54" s="60"/>
      <c r="C54" s="60"/>
      <c r="D54" s="60"/>
      <c r="E54" s="148">
        <f>C30</f>
        <v>3600</v>
      </c>
      <c r="F54" s="148">
        <f t="shared" ref="F54" si="0">E54/100*(100-$C$48)</f>
        <v>3567.6</v>
      </c>
      <c r="G54" s="148">
        <f t="shared" ref="G54" si="1">F54/100*(100-$C$48)</f>
        <v>3535.4915999999998</v>
      </c>
      <c r="H54" s="148">
        <f t="shared" ref="H54" si="2">G54/100*(100-$C$48)</f>
        <v>3503.6721755999993</v>
      </c>
      <c r="I54" s="148">
        <f t="shared" ref="I54" si="3">H54/100*(100-$C$48)</f>
        <v>3472.1391260195987</v>
      </c>
      <c r="J54" s="148">
        <f t="shared" ref="J54" si="4">I54/100*(100-$C$48)</f>
        <v>3440.8898738854218</v>
      </c>
      <c r="K54" s="148">
        <f t="shared" ref="K54" si="5">J54/100*(100-$C$48)</f>
        <v>3409.921865020453</v>
      </c>
      <c r="L54" s="148">
        <f t="shared" ref="L54" si="6">K54/100*(100-$C$48)</f>
        <v>3379.2325682352684</v>
      </c>
      <c r="M54" s="148">
        <f t="shared" ref="M54" si="7">L54/100*(100-$C$48)</f>
        <v>3348.8194751211508</v>
      </c>
      <c r="N54" s="148">
        <f t="shared" ref="N54" si="8">M54/100*(100-$C$48)</f>
        <v>3318.6800998450603</v>
      </c>
      <c r="O54" s="148">
        <f t="shared" ref="O54" si="9">N54/100*(100-$C$48)</f>
        <v>3288.8119789464545</v>
      </c>
      <c r="P54" s="148">
        <f t="shared" ref="P54" si="10">O54/100*(100-$C$48)</f>
        <v>3259.2126711359365</v>
      </c>
      <c r="Q54" s="148">
        <f t="shared" ref="Q54" si="11">P54/100*(100-$C$48)</f>
        <v>3229.8797570957126</v>
      </c>
      <c r="R54" s="148">
        <f t="shared" ref="R54" si="12">Q54/100*(100-$C$48)</f>
        <v>3200.8108392818513</v>
      </c>
      <c r="S54" s="148">
        <f t="shared" ref="S54" si="13">R54/100*(100-$C$48)</f>
        <v>3172.0035417283143</v>
      </c>
      <c r="T54" s="148">
        <f t="shared" ref="T54" si="14">S54/100*(100-$C$48)</f>
        <v>3143.4555098527594</v>
      </c>
      <c r="U54" s="148">
        <f t="shared" ref="U54" si="15">T54/100*(100-$C$48)</f>
        <v>3115.1644102640844</v>
      </c>
      <c r="V54" s="148">
        <f t="shared" ref="V54" si="16">U54/100*(100-$C$48)</f>
        <v>3087.1279305717076</v>
      </c>
      <c r="W54" s="148">
        <f t="shared" ref="W54" si="17">V54/100*(100-$C$48)</f>
        <v>3059.3437791965621</v>
      </c>
      <c r="X54" s="148">
        <f t="shared" ref="X54" si="18">W54/100*(100-$C$48)</f>
        <v>3031.8096851837927</v>
      </c>
      <c r="Y54" s="148">
        <f t="shared" ref="Y54" si="19">X54/100*(100-$C$48)</f>
        <v>3004.5233980171383</v>
      </c>
      <c r="Z54" s="148">
        <f t="shared" ref="Z54" si="20">Y54/100*(100-$C$48)</f>
        <v>2977.4826874349837</v>
      </c>
      <c r="AA54" s="148">
        <f t="shared" ref="AA54" si="21">Z54/100*(100-$C$48)</f>
        <v>2950.6853432480689</v>
      </c>
      <c r="AB54" s="148">
        <f t="shared" ref="AB54" si="22">AA54/100*(100-$C$48)</f>
        <v>2924.129175158836</v>
      </c>
      <c r="AC54" s="148">
        <f t="shared" ref="AC54" si="23">AB54/100*(100-$C$48)</f>
        <v>2897.8120125824062</v>
      </c>
    </row>
    <row r="55" spans="1:29" ht="15.75">
      <c r="A55" s="62" t="s">
        <v>28</v>
      </c>
      <c r="B55" s="60"/>
      <c r="C55" s="60"/>
      <c r="D55" s="60"/>
      <c r="E55" s="148">
        <f>IF($C$33&lt;=E54,Calcoli!D224/100*Calcoli!$S$41,E54/100*Calcoli!$S$41)</f>
        <v>900</v>
      </c>
      <c r="F55" s="148">
        <f>IF($C$33&lt;=F54,Calcoli!E224/100*Calcoli!$S$41,F54/100*Calcoli!$S$41)</f>
        <v>918</v>
      </c>
      <c r="G55" s="148">
        <f>IF($C$33&lt;=G54,Calcoli!F224/100*Calcoli!$S$41,G54/100*Calcoli!$S$41)</f>
        <v>936.36</v>
      </c>
      <c r="H55" s="148">
        <f>IF($C$33&lt;=H54,Calcoli!G224/100*Calcoli!$S$41,H54/100*Calcoli!$S$41)</f>
        <v>955.08720000000005</v>
      </c>
      <c r="I55" s="148">
        <f>IF($C$33&lt;=I54,Calcoli!H224/100*Calcoli!$S$41,I54/100*Calcoli!$S$41)</f>
        <v>974.18894400000011</v>
      </c>
      <c r="J55" s="148">
        <f>IF($C$33&lt;=J54,Calcoli!I224/100*Calcoli!$S$41,J54/100*Calcoli!$S$41)</f>
        <v>993.67272288000026</v>
      </c>
      <c r="K55" s="148">
        <f>IF($C$33&lt;=K54,Calcoli!J224/100*Calcoli!$S$41,K54/100*Calcoli!$S$41)</f>
        <v>1013.5461773376001</v>
      </c>
      <c r="L55" s="148">
        <f>IF($C$33&lt;=L54,Calcoli!K224/100*Calcoli!$S$41,L54/100*Calcoli!$S$41)</f>
        <v>1033.8171008843522</v>
      </c>
      <c r="M55" s="148">
        <f>IF($C$33&lt;=M54,Calcoli!L224/100*Calcoli!$S$41,M54/100*Calcoli!$S$41)</f>
        <v>1054.4934429020393</v>
      </c>
      <c r="N55" s="148">
        <f>IF($C$33&lt;=N54,Calcoli!M224/100*Calcoli!$S$41,N54/100*Calcoli!$S$41)</f>
        <v>1075.5833117600801</v>
      </c>
      <c r="O55" s="148">
        <f>IF($C$33&lt;=O54,Calcoli!N224/100*Calcoli!$S$41,O54/100*Calcoli!$S$41)</f>
        <v>1097.0949779952816</v>
      </c>
      <c r="P55" s="148">
        <f>IF($C$33&lt;=P54,Calcoli!O224/100*Calcoli!$S$41,P54/100*Calcoli!$S$41)</f>
        <v>1119.0368775551872</v>
      </c>
      <c r="Q55" s="148">
        <f>IF($C$33&lt;=Q54,Calcoli!P224/100*Calcoli!$S$41,Q54/100*Calcoli!$S$41)</f>
        <v>1141.4176151062909</v>
      </c>
      <c r="R55" s="148">
        <f>IF($C$33&lt;=R54,Calcoli!Q224/100*Calcoli!$S$41,R54/100*Calcoli!$S$41)</f>
        <v>1164.2459674084166</v>
      </c>
      <c r="S55" s="148">
        <f>IF($C$33&lt;=S54,Calcoli!R224/100*Calcoli!$S$41,S54/100*Calcoli!$S$41)</f>
        <v>1187.530886756585</v>
      </c>
      <c r="T55" s="148">
        <f>IF($C$33&lt;=T54,Calcoli!S224/100*Calcoli!$S$41,T54/100*Calcoli!$S$41)</f>
        <v>1211.2815044917168</v>
      </c>
      <c r="U55" s="148">
        <f>IF($C$33&lt;=U54,Calcoli!T224/100*Calcoli!$S$41,U54/100*Calcoli!$S$41)</f>
        <v>1235.5071345815511</v>
      </c>
      <c r="V55" s="148">
        <f>IF($C$33&lt;=V54,Calcoli!U224/100*Calcoli!$S$41,V54/100*Calcoli!$S$41)</f>
        <v>1260.2172772731822</v>
      </c>
      <c r="W55" s="148">
        <f>IF($C$33&lt;=W54,Calcoli!V224/100*Calcoli!$S$41,W54/100*Calcoli!$S$41)</f>
        <v>1285.4216228186458</v>
      </c>
      <c r="X55" s="148">
        <f>IF($C$33&lt;=X54,Calcoli!W224/100*Calcoli!$S$41,X54/100*Calcoli!$S$41)</f>
        <v>1311.1300552750188</v>
      </c>
      <c r="Y55" s="148">
        <f>IF($C$33&lt;=Y54,Calcoli!X224/100*Calcoli!$S$41,Y54/100*Calcoli!$S$41)</f>
        <v>1337.3526563805192</v>
      </c>
      <c r="Z55" s="148">
        <f>IF($C$33&lt;=Z54,Calcoli!Y224/100*Calcoli!$S$41,Z54/100*Calcoli!$S$41)</f>
        <v>1364.0997095081295</v>
      </c>
      <c r="AA55" s="148">
        <f>IF($C$33&lt;=AA54,Calcoli!Z224/100*Calcoli!$S$41,AA54/100*Calcoli!$S$41)</f>
        <v>1391.3817036982921</v>
      </c>
      <c r="AB55" s="148">
        <f>IF($C$33&lt;=AB54,Calcoli!AA224/100*Calcoli!$S$41,AB54/100*Calcoli!$S$41)</f>
        <v>1419.2093377722579</v>
      </c>
      <c r="AC55" s="148">
        <f>IF($C$33&lt;=AC54,Calcoli!AB224/100*Calcoli!$S$41,AC54/100*Calcoli!$S$41)</f>
        <v>1447.593524527703</v>
      </c>
    </row>
    <row r="56" spans="1:29" ht="15.75">
      <c r="A56" s="62" t="s">
        <v>38</v>
      </c>
      <c r="B56" s="60"/>
      <c r="C56" s="60"/>
      <c r="D56" s="60"/>
      <c r="E56" s="148">
        <f>IF((E54-E55)&lt;0,0,E54-E55)</f>
        <v>2700</v>
      </c>
      <c r="F56" s="148">
        <f t="shared" ref="F56:X56" si="24">IF((F54-F55)&lt;0,0,F54-F55)</f>
        <v>2649.6</v>
      </c>
      <c r="G56" s="148">
        <f t="shared" si="24"/>
        <v>2599.1315999999997</v>
      </c>
      <c r="H56" s="148">
        <f t="shared" si="24"/>
        <v>2548.5849755999993</v>
      </c>
      <c r="I56" s="148">
        <f t="shared" si="24"/>
        <v>2497.9501820195987</v>
      </c>
      <c r="J56" s="148">
        <f t="shared" si="24"/>
        <v>2447.2171510054213</v>
      </c>
      <c r="K56" s="148">
        <f t="shared" si="24"/>
        <v>2396.3756876828529</v>
      </c>
      <c r="L56" s="148">
        <f t="shared" si="24"/>
        <v>2345.4154673509165</v>
      </c>
      <c r="M56" s="148">
        <f t="shared" si="24"/>
        <v>2294.3260322191118</v>
      </c>
      <c r="N56" s="148">
        <f t="shared" si="24"/>
        <v>2243.0967880849803</v>
      </c>
      <c r="O56" s="148">
        <f t="shared" si="24"/>
        <v>2191.7170009511728</v>
      </c>
      <c r="P56" s="148">
        <f t="shared" si="24"/>
        <v>2140.1757935807491</v>
      </c>
      <c r="Q56" s="148">
        <f t="shared" si="24"/>
        <v>2088.462141989422</v>
      </c>
      <c r="R56" s="148">
        <f t="shared" si="24"/>
        <v>2036.5648718734346</v>
      </c>
      <c r="S56" s="148">
        <f t="shared" si="24"/>
        <v>1984.4726549717293</v>
      </c>
      <c r="T56" s="148">
        <f t="shared" si="24"/>
        <v>1932.1740053610426</v>
      </c>
      <c r="U56" s="148">
        <f t="shared" si="24"/>
        <v>1879.6572756825333</v>
      </c>
      <c r="V56" s="148">
        <f t="shared" si="24"/>
        <v>1826.9106532985254</v>
      </c>
      <c r="W56" s="148">
        <f t="shared" si="24"/>
        <v>1773.9221563779163</v>
      </c>
      <c r="X56" s="148">
        <f t="shared" si="24"/>
        <v>1720.6796299087739</v>
      </c>
      <c r="Y56" s="148">
        <f t="shared" ref="Y56:AC56" si="25">IF((Y54-Y55)&lt;0,0,Y54-Y55)</f>
        <v>1667.1707416366191</v>
      </c>
      <c r="Z56" s="148">
        <f t="shared" si="25"/>
        <v>1613.3829779268542</v>
      </c>
      <c r="AA56" s="148">
        <f t="shared" si="25"/>
        <v>1559.3036395497768</v>
      </c>
      <c r="AB56" s="148">
        <f t="shared" si="25"/>
        <v>1504.9198373865781</v>
      </c>
      <c r="AC56" s="148">
        <f t="shared" si="25"/>
        <v>1450.2184880547031</v>
      </c>
    </row>
    <row r="57" spans="1:29" ht="11.25" customHeight="1">
      <c r="A57" s="62"/>
      <c r="B57" s="60"/>
      <c r="C57" s="60"/>
      <c r="D57" s="60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</row>
    <row r="58" spans="1:29" ht="15.75">
      <c r="A58" s="150" t="s">
        <v>142</v>
      </c>
      <c r="B58" s="151"/>
      <c r="C58" s="151"/>
      <c r="D58" s="60"/>
      <c r="E58" s="143">
        <f>IF(Calcoli!$D$1&lt;6,E56*$D$25/1000,0)</f>
        <v>615.6</v>
      </c>
      <c r="F58" s="143">
        <f>IF(Calcoli!$D$1&lt;6,F56*$D$25/1000,0)</f>
        <v>604.10879999999997</v>
      </c>
      <c r="G58" s="143">
        <f>IF(Calcoli!$D$1&lt;6,G56*$D$25/1000,0)</f>
        <v>592.60200479999992</v>
      </c>
      <c r="H58" s="143">
        <f>IF(Calcoli!$D$1&lt;6,H56*$D$25/1000,0)</f>
        <v>581.07737443679991</v>
      </c>
      <c r="I58" s="143">
        <f>IF(Calcoli!$D$1&lt;6,I56*$D$25/1000,0)</f>
        <v>569.53264150046846</v>
      </c>
      <c r="J58" s="143">
        <f>IF(Calcoli!$D$1&lt;6,J56*$D$25/1000,0)</f>
        <v>557.96551042923613</v>
      </c>
      <c r="K58" s="143">
        <f>IF(Calcoli!$D$1&lt;6,K56*$D$25/1000,0)</f>
        <v>546.37365679169045</v>
      </c>
      <c r="L58" s="143">
        <f>IF(Calcoli!$D$1&lt;6,L56*$D$25/1000,0)</f>
        <v>534.7547265560089</v>
      </c>
      <c r="M58" s="143">
        <f>IF(Calcoli!$D$1&lt;6,M56*$D$25/1000,0)</f>
        <v>523.10633534595752</v>
      </c>
      <c r="N58" s="143">
        <f>IF(Calcoli!$D$1&lt;6,N56*$D$25/1000,0)</f>
        <v>511.42606768337549</v>
      </c>
      <c r="O58" s="143">
        <f>IF(Calcoli!$D$1&lt;6,O56*$D$25/1000,0)</f>
        <v>499.71147621686737</v>
      </c>
      <c r="P58" s="143">
        <f>IF(Calcoli!$D$1&lt;6,P56*$D$25/1000,0)</f>
        <v>487.9600809364108</v>
      </c>
      <c r="Q58" s="143">
        <f>IF(Calcoli!$D$1&lt;6,Q56*$D$25/1000,0)</f>
        <v>476.16936837358821</v>
      </c>
      <c r="R58" s="143">
        <f>IF(Calcoli!$D$1&lt;6,R56*$D$25/1000,0)</f>
        <v>464.33679078714312</v>
      </c>
      <c r="S58" s="143">
        <f>IF(Calcoli!$D$1&lt;6,S56*$D$25/1000,0)</f>
        <v>452.45976533355429</v>
      </c>
      <c r="T58" s="143">
        <f>IF(Calcoli!$D$1&lt;6,T56*$D$25/1000,0)</f>
        <v>440.53567322231771</v>
      </c>
      <c r="U58" s="143">
        <f>IF(Calcoli!$D$1&lt;6,U56*$D$25/1000,0)</f>
        <v>428.56185885561757</v>
      </c>
      <c r="V58" s="143">
        <f>IF(Calcoli!$D$1&lt;6,V56*$D$25/1000,0)</f>
        <v>416.5356289520638</v>
      </c>
      <c r="W58" s="143">
        <f>IF(Calcoli!$D$1&lt;6,W56*$D$25/1000,0)</f>
        <v>404.45425165416492</v>
      </c>
      <c r="X58" s="143">
        <f>IF(Calcoli!$D$1&lt;6,X56*$D$25/1000,0)</f>
        <v>392.31495561920042</v>
      </c>
      <c r="Y58" s="143">
        <v>0</v>
      </c>
      <c r="Z58" s="143">
        <v>0</v>
      </c>
      <c r="AA58" s="143">
        <v>0</v>
      </c>
      <c r="AB58" s="143">
        <v>0</v>
      </c>
      <c r="AC58" s="143">
        <v>0</v>
      </c>
    </row>
    <row r="59" spans="1:29" ht="15.75">
      <c r="A59" s="150" t="s">
        <v>143</v>
      </c>
      <c r="B59" s="151"/>
      <c r="C59" s="151"/>
      <c r="D59" s="60"/>
      <c r="E59" s="143">
        <f>IF(Calcoli!$D$1&lt;6,E55*$D$26/1000,0)</f>
        <v>131.4</v>
      </c>
      <c r="F59" s="143">
        <f>IF(Calcoli!$D$1&lt;6,F55*$D$26/1000,0)</f>
        <v>134.02799999999999</v>
      </c>
      <c r="G59" s="143">
        <f>IF(Calcoli!$D$1&lt;6,G55*$D$26/1000,0)</f>
        <v>136.70856000000001</v>
      </c>
      <c r="H59" s="143">
        <f>IF(Calcoli!$D$1&lt;6,H55*$D$26/1000,0)</f>
        <v>139.4427312</v>
      </c>
      <c r="I59" s="143">
        <f>IF(Calcoli!$D$1&lt;6,I55*$D$26/1000,0)</f>
        <v>142.23158582400001</v>
      </c>
      <c r="J59" s="143">
        <f>IF(Calcoli!$D$1&lt;6,J55*$D$26/1000,0)</f>
        <v>145.07621754048006</v>
      </c>
      <c r="K59" s="143">
        <f>IF(Calcoli!$D$1&lt;6,K55*$D$26/1000,0)</f>
        <v>147.97774189128958</v>
      </c>
      <c r="L59" s="143">
        <f>IF(Calcoli!$D$1&lt;6,L55*$D$26/1000,0)</f>
        <v>150.93729672911542</v>
      </c>
      <c r="M59" s="143">
        <f>IF(Calcoli!$D$1&lt;6,M55*$D$26/1000,0)</f>
        <v>153.95604266369773</v>
      </c>
      <c r="N59" s="143">
        <f>IF(Calcoli!$D$1&lt;6,N55*$D$26/1000,0)</f>
        <v>157.03516351697169</v>
      </c>
      <c r="O59" s="143">
        <f>IF(Calcoli!$D$1&lt;6,O55*$D$26/1000,0)</f>
        <v>160.17586678731112</v>
      </c>
      <c r="P59" s="143">
        <f>IF(Calcoli!$D$1&lt;6,P55*$D$26/1000,0)</f>
        <v>163.37938412305732</v>
      </c>
      <c r="Q59" s="143">
        <f>IF(Calcoli!$D$1&lt;6,Q55*$D$26/1000,0)</f>
        <v>166.64697180551846</v>
      </c>
      <c r="R59" s="143">
        <f>IF(Calcoli!$D$1&lt;6,R55*$D$26/1000,0)</f>
        <v>169.9799112416288</v>
      </c>
      <c r="S59" s="143">
        <f>IF(Calcoli!$D$1&lt;6,S55*$D$26/1000,0)</f>
        <v>173.3795094664614</v>
      </c>
      <c r="T59" s="143">
        <f>IF(Calcoli!$D$1&lt;6,T55*$D$26/1000,0)</f>
        <v>176.84709965579063</v>
      </c>
      <c r="U59" s="143">
        <f>IF(Calcoli!$D$1&lt;6,U55*$D$26/1000,0)</f>
        <v>180.38404164890645</v>
      </c>
      <c r="V59" s="143">
        <f>IF(Calcoli!$D$1&lt;6,V55*$D$26/1000,0)</f>
        <v>183.99172248188458</v>
      </c>
      <c r="W59" s="143">
        <f>IF(Calcoli!$D$1&lt;6,W55*$D$26/1000,0)</f>
        <v>187.6715569315223</v>
      </c>
      <c r="X59" s="143">
        <f>IF(Calcoli!$D$1&lt;6,X55*$D$26/1000,0)</f>
        <v>191.42498807015272</v>
      </c>
      <c r="Y59" s="143">
        <v>0</v>
      </c>
      <c r="Z59" s="143">
        <v>0</v>
      </c>
      <c r="AA59" s="143">
        <v>0</v>
      </c>
      <c r="AB59" s="143">
        <v>0</v>
      </c>
      <c r="AC59" s="143">
        <v>0</v>
      </c>
    </row>
    <row r="60" spans="1:29" ht="15.75">
      <c r="A60" s="150" t="s">
        <v>170</v>
      </c>
      <c r="B60" s="151"/>
      <c r="C60" s="151"/>
      <c r="D60" s="60"/>
      <c r="E60" s="143">
        <f>IF(Calcoli!$D$1=6,Calcoli!D235*Calcoli!$G$232,0)</f>
        <v>0</v>
      </c>
      <c r="F60" s="143">
        <f>IF(Calcoli!$D$1=6,Calcoli!E235*Calcoli!$G$232,0)</f>
        <v>0</v>
      </c>
      <c r="G60" s="143">
        <f>IF(Calcoli!$D$1=6,Calcoli!F235*Calcoli!$G$232,0)</f>
        <v>0</v>
      </c>
      <c r="H60" s="143">
        <f>IF(Calcoli!$D$1=6,Calcoli!G235*Calcoli!$G$232,0)</f>
        <v>0</v>
      </c>
      <c r="I60" s="143">
        <f>IF(Calcoli!$D$1=6,Calcoli!H235*Calcoli!$G$232,0)</f>
        <v>0</v>
      </c>
      <c r="J60" s="143">
        <f>IF(Calcoli!$D$1=6,Calcoli!I235*Calcoli!$G$232,0)</f>
        <v>0</v>
      </c>
      <c r="K60" s="143">
        <f>IF(Calcoli!$D$1=6,Calcoli!J235*Calcoli!$G$232,0)</f>
        <v>0</v>
      </c>
      <c r="L60" s="143">
        <f>IF(Calcoli!$D$1=6,Calcoli!K235*Calcoli!$G$232,0)</f>
        <v>0</v>
      </c>
      <c r="M60" s="143">
        <f>IF(Calcoli!$D$1=6,Calcoli!L235*Calcoli!$G$232,0)</f>
        <v>0</v>
      </c>
      <c r="N60" s="143">
        <f>IF(Calcoli!$D$1=6,Calcoli!M235*Calcoli!$G$232,0)</f>
        <v>0</v>
      </c>
      <c r="O60" s="143">
        <f>IF(Calcoli!$D$1=6,Calcoli!N235*Calcoli!$G$232,0)</f>
        <v>0</v>
      </c>
      <c r="P60" s="143">
        <f>IF(Calcoli!$D$1=6,Calcoli!O235*Calcoli!$G$232,0)</f>
        <v>0</v>
      </c>
      <c r="Q60" s="143">
        <f>IF(Calcoli!$D$1=6,Calcoli!P235*Calcoli!$G$232,0)</f>
        <v>0</v>
      </c>
      <c r="R60" s="143">
        <f>IF(Calcoli!$D$1=6,Calcoli!Q235*Calcoli!$G$232,0)</f>
        <v>0</v>
      </c>
      <c r="S60" s="143">
        <f>IF(Calcoli!$D$1=6,Calcoli!R235*Calcoli!$G$232,0)</f>
        <v>0</v>
      </c>
      <c r="T60" s="143">
        <f>IF(Calcoli!$D$1=6,Calcoli!S235*Calcoli!$G$232,0)</f>
        <v>0</v>
      </c>
      <c r="U60" s="143">
        <f>IF(Calcoli!$D$1=6,Calcoli!T235*Calcoli!$G$232,0)</f>
        <v>0</v>
      </c>
      <c r="V60" s="143">
        <f>IF(Calcoli!$D$1=6,Calcoli!U235*Calcoli!$G$232,0)</f>
        <v>0</v>
      </c>
      <c r="W60" s="143">
        <f>IF(Calcoli!$D$1=6,Calcoli!V235*Calcoli!$G$232,0)</f>
        <v>0</v>
      </c>
      <c r="X60" s="143">
        <f>IF(Calcoli!$D$1=6,Calcoli!W235*Calcoli!$G$232,0)</f>
        <v>0</v>
      </c>
      <c r="Y60" s="143">
        <f>Calcoli!X235*Calcoli!$G$232</f>
        <v>216.65113033364412</v>
      </c>
      <c r="Z60" s="143">
        <f>Calcoli!Y235*Calcoli!$G$232</f>
        <v>220.98415294031699</v>
      </c>
      <c r="AA60" s="143">
        <f>Calcoli!Z235*Calcoli!$G$232</f>
        <v>225.40383599912332</v>
      </c>
      <c r="AB60" s="143">
        <f>Calcoli!AA235*Calcoli!$G$232</f>
        <v>229.91191271910577</v>
      </c>
      <c r="AC60" s="143">
        <f>Calcoli!AB235*Calcoli!$G$232</f>
        <v>234.5101509734879</v>
      </c>
    </row>
    <row r="61" spans="1:29" ht="15.75">
      <c r="A61" s="150" t="s">
        <v>171</v>
      </c>
      <c r="B61" s="151"/>
      <c r="C61" s="151"/>
      <c r="D61" s="60"/>
      <c r="E61" s="143">
        <f>IF(Calcoli!$Q$57=TRUE,Calcoli!D236*Calcoli!$G$232,0)</f>
        <v>0</v>
      </c>
      <c r="F61" s="143">
        <f>IF(Calcoli!$Q$57=TRUE,Calcoli!E236*Calcoli!$G$232,0)</f>
        <v>0</v>
      </c>
      <c r="G61" s="143">
        <f>IF(Calcoli!$Q$57=TRUE,Calcoli!F236*Calcoli!$G$232,0)</f>
        <v>0</v>
      </c>
      <c r="H61" s="143">
        <f>IF(Calcoli!$Q$57=TRUE,Calcoli!G236*Calcoli!$G$232,0)</f>
        <v>0</v>
      </c>
      <c r="I61" s="143">
        <f>IF(Calcoli!$Q$57=TRUE,Calcoli!H236*Calcoli!$G$232,0)</f>
        <v>0</v>
      </c>
      <c r="J61" s="143">
        <f>IF(Calcoli!$Q$57=TRUE,Calcoli!I236*Calcoli!$G$232,0)</f>
        <v>0</v>
      </c>
      <c r="K61" s="143">
        <f>IF(Calcoli!$Q$57=TRUE,Calcoli!J236*Calcoli!$G$232,0)</f>
        <v>0</v>
      </c>
      <c r="L61" s="143">
        <f>IF(Calcoli!$Q$57=TRUE,Calcoli!K236*Calcoli!$G$232,0)</f>
        <v>0</v>
      </c>
      <c r="M61" s="143">
        <f>IF(Calcoli!$Q$57=TRUE,Calcoli!L236*Calcoli!$G$232,0)</f>
        <v>0</v>
      </c>
      <c r="N61" s="143">
        <f>IF(Calcoli!$Q$57=TRUE,Calcoli!M236*Calcoli!$G$232,0)</f>
        <v>0</v>
      </c>
      <c r="O61" s="143">
        <f>IF(Calcoli!$Q$57=TRUE,Calcoli!N236*Calcoli!$G$232,0)</f>
        <v>0</v>
      </c>
      <c r="P61" s="143">
        <f>IF(Calcoli!$Q$57=TRUE,Calcoli!O236*Calcoli!$G$232,0)</f>
        <v>0</v>
      </c>
      <c r="Q61" s="143">
        <f>IF(Calcoli!$Q$57=TRUE,Calcoli!P236*Calcoli!$G$232,0)</f>
        <v>0</v>
      </c>
      <c r="R61" s="143">
        <f>IF(Calcoli!$Q$57=TRUE,Calcoli!Q236*Calcoli!$G$232,0)</f>
        <v>0</v>
      </c>
      <c r="S61" s="143">
        <f>IF(Calcoli!$Q$57=TRUE,Calcoli!R236*Calcoli!$G$232,0)</f>
        <v>0</v>
      </c>
      <c r="T61" s="143">
        <f>IF(Calcoli!$Q$57=TRUE,Calcoli!S236*Calcoli!$G$232,0)</f>
        <v>0</v>
      </c>
      <c r="U61" s="143">
        <f>IF(Calcoli!$Q$57=TRUE,Calcoli!T236*Calcoli!$G$232,0)</f>
        <v>0</v>
      </c>
      <c r="V61" s="143">
        <f>IF(Calcoli!$Q$57=TRUE,Calcoli!U236*Calcoli!$G$232,0)</f>
        <v>0</v>
      </c>
      <c r="W61" s="143">
        <f>IF(Calcoli!$Q$57=TRUE,Calcoli!V236*Calcoli!$G$232,0)</f>
        <v>0</v>
      </c>
      <c r="X61" s="143">
        <f>IF(Calcoli!$Q$57=TRUE,Calcoli!W236*Calcoli!$G$232,0)</f>
        <v>0</v>
      </c>
      <c r="Y61" s="143">
        <f>IF(Calcoli!$Q$49=1,Calcoli!X236*Calcoli!$G$232,0)</f>
        <v>53.430529811488192</v>
      </c>
      <c r="Z61" s="143">
        <f>IF(Calcoli!$Q$49=1,Calcoli!Y236*Calcoli!$G$232,0)</f>
        <v>40.3838894838334</v>
      </c>
      <c r="AA61" s="143">
        <f>IF(Calcoli!$Q$49=1,Calcoli!Z236*Calcoli!$G$232,0)</f>
        <v>27.203353607940524</v>
      </c>
      <c r="AB61" s="143">
        <f>IF(Calcoli!$Q$49=1,Calcoli!AA236*Calcoli!$G$232,0)</f>
        <v>13.885100937519884</v>
      </c>
      <c r="AC61" s="143">
        <f>IF(Calcoli!$Q$49=1,Calcoli!AB236*Calcoli!$G$232,0)</f>
        <v>0.42524409137401475</v>
      </c>
    </row>
    <row r="62" spans="1:29" ht="15.75">
      <c r="A62" s="150" t="s">
        <v>165</v>
      </c>
      <c r="B62" s="151"/>
      <c r="C62" s="151"/>
      <c r="D62" s="60"/>
      <c r="E62" s="143">
        <f>IF(Calcoli!$D$230=TRUE,$C$47*E56,0)</f>
        <v>0</v>
      </c>
      <c r="F62" s="143">
        <f>IF(Calcoli!$D$230=TRUE,$C$47*F56,0)</f>
        <v>0</v>
      </c>
      <c r="G62" s="143">
        <f>IF(Calcoli!$D$230=TRUE,$C$47*G56,0)</f>
        <v>0</v>
      </c>
      <c r="H62" s="143">
        <f>IF(Calcoli!$D$230=TRUE,$C$47*H56,0)</f>
        <v>0</v>
      </c>
      <c r="I62" s="143">
        <f>IF(Calcoli!$D$230=TRUE,$C$47*I56,0)</f>
        <v>0</v>
      </c>
      <c r="J62" s="143">
        <f>IF(Calcoli!$D$230=TRUE,$C$47*J56,0)</f>
        <v>0</v>
      </c>
      <c r="K62" s="143">
        <f>IF(Calcoli!$D$230=TRUE,$C$47*K56,0)</f>
        <v>0</v>
      </c>
      <c r="L62" s="143">
        <f>IF(Calcoli!$D$230=TRUE,$C$47*L56,0)</f>
        <v>0</v>
      </c>
      <c r="M62" s="143">
        <f>IF(Calcoli!$D$230=TRUE,$C$47*M56,0)</f>
        <v>0</v>
      </c>
      <c r="N62" s="143">
        <f>IF(Calcoli!$D$230=TRUE,$C$47*N56,0)</f>
        <v>0</v>
      </c>
      <c r="O62" s="143">
        <f>IF(Calcoli!$D$230=TRUE,$C$47*O56,0)</f>
        <v>0</v>
      </c>
      <c r="P62" s="143">
        <f>IF(Calcoli!$D$230=TRUE,$C$47*P56,0)</f>
        <v>0</v>
      </c>
      <c r="Q62" s="143">
        <f>IF(Calcoli!$D$230=TRUE,$C$47*Q56,0)</f>
        <v>0</v>
      </c>
      <c r="R62" s="143">
        <f>IF(Calcoli!$D$230=TRUE,$C$47*R56,0)</f>
        <v>0</v>
      </c>
      <c r="S62" s="143">
        <f>IF(Calcoli!$D$230=TRUE,$C$47*S56,0)</f>
        <v>0</v>
      </c>
      <c r="T62" s="143">
        <f>IF(Calcoli!$D$230=TRUE,$C$47*T56,0)</f>
        <v>0</v>
      </c>
      <c r="U62" s="143">
        <f>IF(Calcoli!$D$230=TRUE,$C$47*U56,0)</f>
        <v>0</v>
      </c>
      <c r="V62" s="143">
        <f>IF(Calcoli!$D$230=TRUE,$C$47*V56,0)</f>
        <v>0</v>
      </c>
      <c r="W62" s="143">
        <f>IF(Calcoli!$D$230=TRUE,$C$47*W56,0)</f>
        <v>0</v>
      </c>
      <c r="X62" s="143">
        <f>IF(Calcoli!$D$230=TRUE,$C$47*X56,0)</f>
        <v>0</v>
      </c>
      <c r="Y62" s="143">
        <f>IF(Calcoli!$Q$49=2,Y56*$C$47,0)</f>
        <v>0</v>
      </c>
      <c r="Z62" s="143">
        <f>IF(Calcoli!$Q$49=2,Z56*$C$47,0)</f>
        <v>0</v>
      </c>
      <c r="AA62" s="143">
        <f>IF(Calcoli!$Q$49=2,AA56*$C$47,0)</f>
        <v>0</v>
      </c>
      <c r="AB62" s="143">
        <f>IF(Calcoli!$Q$49=2,AB56*$C$47,0)</f>
        <v>0</v>
      </c>
      <c r="AC62" s="143">
        <f>IF(Calcoli!$Q$49=2,AC56*$C$47,0)</f>
        <v>0</v>
      </c>
    </row>
    <row r="63" spans="1:29" ht="16.5" thickBot="1">
      <c r="A63" s="152" t="s">
        <v>39</v>
      </c>
      <c r="B63" s="153"/>
      <c r="C63" s="153"/>
      <c r="D63" s="60"/>
      <c r="E63" s="145">
        <f>(Calcoli!D242*E55)+(('Simulazione 5.5'!D242*E55)/100*$C$49)</f>
        <v>162</v>
      </c>
      <c r="F63" s="145">
        <f>(Calcoli!E242*F55)+(('Simulazione 5.5'!E242*F55)/100*$C$49)</f>
        <v>171.84960000000001</v>
      </c>
      <c r="G63" s="145">
        <f>(Calcoli!F242*G55)+(('Simulazione 5.5'!F242*G55)/100*$C$49)</f>
        <v>182.29805568</v>
      </c>
      <c r="H63" s="145">
        <f>(Calcoli!G242*H55)+(('Simulazione 5.5'!G242*H55)/100*$C$49)</f>
        <v>193.38177746534402</v>
      </c>
      <c r="I63" s="145">
        <f>(Calcoli!H242*I55)+(('Simulazione 5.5'!H242*I55)/100*$C$49)</f>
        <v>205.13938953523692</v>
      </c>
      <c r="J63" s="145">
        <f>(Calcoli!I242*J55)+(('Simulazione 5.5'!I242*J55)/100*$C$49)</f>
        <v>217.61186441897937</v>
      </c>
      <c r="K63" s="145">
        <f>(Calcoli!J242*K55)+(('Simulazione 5.5'!J242*K55)/100*$C$49)</f>
        <v>230.84266577565324</v>
      </c>
      <c r="L63" s="145">
        <f>(Calcoli!K242*L55)+(('Simulazione 5.5'!K242*L55)/100*$C$49)</f>
        <v>244.87789985481299</v>
      </c>
      <c r="M63" s="145">
        <f>(Calcoli!L242*M55)+(('Simulazione 5.5'!L242*M55)/100*$C$49)</f>
        <v>259.76647616598564</v>
      </c>
      <c r="N63" s="145">
        <f>(Calcoli!M242*N55)+(('Simulazione 5.5'!M242*N55)/100*$C$49)</f>
        <v>275.56027791687757</v>
      </c>
      <c r="O63" s="145">
        <f>(Calcoli!N242*O55)+(('Simulazione 5.5'!N242*O55)/100*$C$49)</f>
        <v>292.31434281422372</v>
      </c>
      <c r="P63" s="145">
        <f>(Calcoli!O242*P55)+(('Simulazione 5.5'!O242*P55)/100*$C$49)</f>
        <v>310.0870548573285</v>
      </c>
      <c r="Q63" s="145">
        <f>(Calcoli!P242*Q55)+(('Simulazione 5.5'!P242*Q55)/100*$C$49)</f>
        <v>328.94034779265405</v>
      </c>
      <c r="R63" s="145">
        <f>(Calcoli!Q242*R55)+(('Simulazione 5.5'!Q242*R55)/100*$C$49)</f>
        <v>348.93992093844736</v>
      </c>
      <c r="S63" s="145">
        <f>(Calcoli!R242*S55)+(('Simulazione 5.5'!R242*S55)/100*$C$49)</f>
        <v>370.15546813150496</v>
      </c>
      <c r="T63" s="145">
        <f>(Calcoli!S242*T55)+(('Simulazione 5.5'!S242*T55)/100*$C$49)</f>
        <v>392.66092059390047</v>
      </c>
      <c r="U63" s="145">
        <f>(Calcoli!T242*U55)+(('Simulazione 5.5'!T242*U55)/100*$C$49)</f>
        <v>416.53470456600962</v>
      </c>
      <c r="V63" s="145">
        <f>(Calcoli!U242*V55)+(('Simulazione 5.5'!U242*V55)/100*$C$49)</f>
        <v>441.86001460362303</v>
      </c>
      <c r="W63" s="145">
        <f>(Calcoli!V242*W55)+(('Simulazione 5.5'!V242*W55)/100*$C$49)</f>
        <v>468.72510349152327</v>
      </c>
      <c r="X63" s="145">
        <f>(Calcoli!W242*X55)+(('Simulazione 5.5'!W242*X55)/100*$C$49)</f>
        <v>497.22358978380794</v>
      </c>
      <c r="Y63" s="145">
        <f>(Calcoli!X242*Y55)+(('Simulazione 5.5'!X242*Y55)/100*$C$49)</f>
        <v>527.4547840426635</v>
      </c>
      <c r="Z63" s="145">
        <f>(Calcoli!Y242*Z55)+(('Simulazione 5.5'!Y242*Z55)/100*$C$49)</f>
        <v>559.52403491245741</v>
      </c>
      <c r="AA63" s="145">
        <f>(Calcoli!Z242*AA55)+(('Simulazione 5.5'!Z242*AA55)/100*$C$49)</f>
        <v>593.54309623513484</v>
      </c>
      <c r="AB63" s="145">
        <f>(Calcoli!AA242*AB55)+(('Simulazione 5.5'!AA242*AB55)/100*$C$49)</f>
        <v>629.63051648623093</v>
      </c>
      <c r="AC63" s="145">
        <f>(Calcoli!AB242*AC55)+(('Simulazione 5.5'!AB242*AC55)/100*$C$49)</f>
        <v>667.91205188859374</v>
      </c>
    </row>
    <row r="64" spans="1:29" ht="16.5" thickBot="1">
      <c r="A64" s="62" t="s">
        <v>148</v>
      </c>
      <c r="B64" s="60"/>
      <c r="C64" s="60"/>
      <c r="D64" s="60"/>
      <c r="E64" s="140">
        <f>SUM(E58:E63)</f>
        <v>909</v>
      </c>
      <c r="F64" s="141">
        <f t="shared" ref="F64:X64" si="26">SUM(F58:F63)</f>
        <v>909.9864</v>
      </c>
      <c r="G64" s="141">
        <f t="shared" si="26"/>
        <v>911.6086204799999</v>
      </c>
      <c r="H64" s="141">
        <f t="shared" si="26"/>
        <v>913.90188310214398</v>
      </c>
      <c r="I64" s="141">
        <f t="shared" si="26"/>
        <v>916.90361685970538</v>
      </c>
      <c r="J64" s="141">
        <f t="shared" si="26"/>
        <v>920.65359238869564</v>
      </c>
      <c r="K64" s="141">
        <f t="shared" si="26"/>
        <v>925.19406445863331</v>
      </c>
      <c r="L64" s="141">
        <f t="shared" si="26"/>
        <v>930.56992313993737</v>
      </c>
      <c r="M64" s="141">
        <f t="shared" si="26"/>
        <v>936.82885417564091</v>
      </c>
      <c r="N64" s="141">
        <f t="shared" si="26"/>
        <v>944.0215091172247</v>
      </c>
      <c r="O64" s="141">
        <f t="shared" si="26"/>
        <v>952.20168581840221</v>
      </c>
      <c r="P64" s="141">
        <f t="shared" si="26"/>
        <v>961.42651991679668</v>
      </c>
      <c r="Q64" s="141">
        <f t="shared" si="26"/>
        <v>971.7566879717607</v>
      </c>
      <c r="R64" s="141">
        <f t="shared" si="26"/>
        <v>983.2566229672193</v>
      </c>
      <c r="S64" s="141">
        <f t="shared" si="26"/>
        <v>995.9947429315207</v>
      </c>
      <c r="T64" s="141">
        <f t="shared" si="26"/>
        <v>1010.0436934720087</v>
      </c>
      <c r="U64" s="141">
        <f t="shared" si="26"/>
        <v>1025.4806050705338</v>
      </c>
      <c r="V64" s="141">
        <f t="shared" si="26"/>
        <v>1042.3873660375714</v>
      </c>
      <c r="W64" s="141">
        <f t="shared" si="26"/>
        <v>1060.8509120772105</v>
      </c>
      <c r="X64" s="142">
        <f t="shared" si="26"/>
        <v>1080.9635334731611</v>
      </c>
      <c r="Y64" s="142">
        <f t="shared" ref="Y64:AC64" si="27">SUM(Y58:Y63)</f>
        <v>797.53644418779584</v>
      </c>
      <c r="Z64" s="142">
        <f t="shared" si="27"/>
        <v>820.89207733660783</v>
      </c>
      <c r="AA64" s="142">
        <f t="shared" si="27"/>
        <v>846.15028584219863</v>
      </c>
      <c r="AB64" s="142">
        <f t="shared" si="27"/>
        <v>873.42753014285654</v>
      </c>
      <c r="AC64" s="142">
        <f t="shared" si="27"/>
        <v>902.84744695345569</v>
      </c>
    </row>
    <row r="65" spans="1:29" ht="11.25" customHeight="1">
      <c r="A65" s="62"/>
      <c r="B65" s="60"/>
      <c r="C65" s="60"/>
      <c r="D65" s="60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</row>
    <row r="66" spans="1:29" ht="15.75">
      <c r="A66" s="154" t="s">
        <v>91</v>
      </c>
      <c r="B66" s="155"/>
      <c r="C66" s="60"/>
      <c r="D66" s="60"/>
      <c r="E66" s="64">
        <f>IF(Calcoli!$I$72=TRUE,Calcoli!D88,0)</f>
        <v>0</v>
      </c>
      <c r="F66" s="64">
        <f>IF(Calcoli!$I$72=TRUE,Calcoli!E88,0)</f>
        <v>0</v>
      </c>
      <c r="G66" s="64">
        <f>IF(Calcoli!$I$72=TRUE,Calcoli!F88,0)</f>
        <v>0</v>
      </c>
      <c r="H66" s="64">
        <f>IF(Calcoli!$I$72=TRUE,Calcoli!G88,0)</f>
        <v>0</v>
      </c>
      <c r="I66" s="64">
        <f>IF(Calcoli!$I$72=TRUE,Calcoli!H88,0)</f>
        <v>0</v>
      </c>
      <c r="J66" s="64">
        <f>IF(Calcoli!$I$72=TRUE,Calcoli!I88,0)</f>
        <v>0</v>
      </c>
      <c r="K66" s="64">
        <f>IF(Calcoli!$I$72=TRUE,Calcoli!J88,0)</f>
        <v>0</v>
      </c>
      <c r="L66" s="64">
        <f>IF(Calcoli!$I$72=TRUE,Calcoli!K88,0)</f>
        <v>0</v>
      </c>
      <c r="M66" s="64">
        <f>IF(Calcoli!$I$72=TRUE,Calcoli!L88,0)</f>
        <v>0</v>
      </c>
      <c r="N66" s="64">
        <f>IF(Calcoli!$I$72=TRUE,Calcoli!M88,0)</f>
        <v>0</v>
      </c>
      <c r="O66" s="64">
        <f>IF(Calcoli!$I$72=TRUE,Calcoli!N88,0)</f>
        <v>0</v>
      </c>
      <c r="P66" s="64">
        <f>IF(Calcoli!$I$72=TRUE,Calcoli!O88,0)</f>
        <v>0</v>
      </c>
      <c r="Q66" s="64">
        <f>IF(Calcoli!$I$72=TRUE,Calcoli!P88,0)</f>
        <v>0</v>
      </c>
      <c r="R66" s="64">
        <f>IF(Calcoli!$I$72=TRUE,Calcoli!Q88,0)</f>
        <v>0</v>
      </c>
      <c r="S66" s="64">
        <f>IF(Calcoli!$I$72=TRUE,Calcoli!R88,0)</f>
        <v>0</v>
      </c>
      <c r="T66" s="64">
        <f>IF(Calcoli!$I$72=TRUE,Calcoli!S88,0)</f>
        <v>0</v>
      </c>
      <c r="U66" s="64">
        <f>IF(Calcoli!$I$72=TRUE,Calcoli!T88,0)</f>
        <v>0</v>
      </c>
      <c r="V66" s="64">
        <f>IF(Calcoli!$I$72=TRUE,Calcoli!U88,0)</f>
        <v>0</v>
      </c>
      <c r="W66" s="64">
        <f>IF(Calcoli!$I$72=TRUE,Calcoli!V88,0)</f>
        <v>0</v>
      </c>
      <c r="X66" s="64">
        <f>IF(Calcoli!$I$72=TRUE,Calcoli!W88,0)</f>
        <v>0</v>
      </c>
      <c r="Y66" s="64">
        <f>IF(Calcoli!$I$72=TRUE,Calcoli!X88,0)</f>
        <v>0</v>
      </c>
      <c r="Z66" s="64">
        <f>IF(Calcoli!$I$72=TRUE,Calcoli!Y88,0)</f>
        <v>0</v>
      </c>
      <c r="AA66" s="64">
        <f>IF(Calcoli!$I$72=TRUE,Calcoli!Z88,0)</f>
        <v>0</v>
      </c>
      <c r="AB66" s="64">
        <f>IF(Calcoli!$I$72=TRUE,Calcoli!AA88,0)</f>
        <v>0</v>
      </c>
      <c r="AC66" s="64">
        <f>IF(Calcoli!$I$72=TRUE,Calcoli!AB88,0)</f>
        <v>0</v>
      </c>
    </row>
    <row r="67" spans="1:29" ht="15.75">
      <c r="A67" s="154" t="s">
        <v>120</v>
      </c>
      <c r="B67" s="155"/>
      <c r="C67" s="60"/>
      <c r="D67" s="60"/>
      <c r="E67" s="104">
        <f>IF(Calcoli!$L$72=FALSE,Calcoli!D67,0)</f>
        <v>0</v>
      </c>
      <c r="F67" s="104">
        <f>IF(Calcoli!$L$72=FALSE,Calcoli!E67,0)</f>
        <v>0</v>
      </c>
      <c r="G67" s="104">
        <f>IF(Calcoli!$L$72=FALSE,Calcoli!F67,0)</f>
        <v>0</v>
      </c>
      <c r="H67" s="104">
        <f>IF(Calcoli!$L$72=FALSE,Calcoli!G67,0)</f>
        <v>0</v>
      </c>
      <c r="I67" s="104">
        <f>IF(Calcoli!$L$72=FALSE,Calcoli!H67,0)</f>
        <v>0</v>
      </c>
      <c r="J67" s="104">
        <f>IF(Calcoli!$L$72=FALSE,Calcoli!I67,0)</f>
        <v>0</v>
      </c>
      <c r="K67" s="104">
        <f>IF(Calcoli!$L$72=FALSE,Calcoli!J67,0)</f>
        <v>0</v>
      </c>
      <c r="L67" s="104">
        <f>IF(Calcoli!$L$72=FALSE,Calcoli!K67,0)</f>
        <v>0</v>
      </c>
      <c r="M67" s="104">
        <f>IF(Calcoli!$L$72=FALSE,Calcoli!L67,0)</f>
        <v>0</v>
      </c>
      <c r="N67" s="104">
        <f>IF(Calcoli!$L$72=FALSE,Calcoli!M67,0)</f>
        <v>0</v>
      </c>
      <c r="O67" s="104">
        <f>IF(Calcoli!$L$72=FALSE,Calcoli!N67,0)</f>
        <v>0</v>
      </c>
      <c r="P67" s="104">
        <f>IF(Calcoli!$L$72=FALSE,Calcoli!O67,0)</f>
        <v>0</v>
      </c>
      <c r="Q67" s="104">
        <f>IF(Calcoli!$L$72=FALSE,Calcoli!P67,0)</f>
        <v>0</v>
      </c>
      <c r="R67" s="104">
        <f>IF(Calcoli!$L$72=FALSE,Calcoli!Q67,0)</f>
        <v>0</v>
      </c>
      <c r="S67" s="104">
        <f>IF(Calcoli!$L$72=FALSE,Calcoli!R67,0)</f>
        <v>0</v>
      </c>
      <c r="T67" s="104">
        <f>IF(Calcoli!$L$72=FALSE,Calcoli!S67,0)</f>
        <v>0</v>
      </c>
      <c r="U67" s="104">
        <f>IF(Calcoli!$L$72=FALSE,Calcoli!T67,0)</f>
        <v>0</v>
      </c>
      <c r="V67" s="104">
        <f>IF(Calcoli!$L$72=FALSE,Calcoli!U67,0)</f>
        <v>0</v>
      </c>
      <c r="W67" s="104">
        <f>IF(Calcoli!$L$72=FALSE,Calcoli!V67,0)</f>
        <v>0</v>
      </c>
      <c r="X67" s="104">
        <f>IF(Calcoli!$L$72=FALSE,Calcoli!W67,0)</f>
        <v>0</v>
      </c>
      <c r="Y67" s="104">
        <f>IF(Calcoli!$L$72=FALSE,Calcoli!X67,0)</f>
        <v>0</v>
      </c>
      <c r="Z67" s="104">
        <f>IF(Calcoli!$L$72=FALSE,Calcoli!Y67,0)</f>
        <v>0</v>
      </c>
      <c r="AA67" s="104">
        <f>IF(Calcoli!$L$72=FALSE,Calcoli!Z67,0)</f>
        <v>0</v>
      </c>
      <c r="AB67" s="104">
        <f>IF(Calcoli!$L$72=FALSE,Calcoli!AA67,0)</f>
        <v>0</v>
      </c>
      <c r="AC67" s="104">
        <f>IF(Calcoli!$L$72=FALSE,Calcoli!AB67,0)</f>
        <v>0</v>
      </c>
    </row>
    <row r="68" spans="1:29" ht="15.75">
      <c r="A68" s="154" t="s">
        <v>89</v>
      </c>
      <c r="B68" s="155"/>
      <c r="C68" s="60"/>
      <c r="D68" s="60"/>
      <c r="E68" s="64">
        <f>IF(Calcoli!$I$76=TRUE,Calcoli!D110,0)</f>
        <v>0</v>
      </c>
      <c r="F68" s="64">
        <f>IF(Calcoli!$I$76=TRUE,Calcoli!E110,0)</f>
        <v>0</v>
      </c>
      <c r="G68" s="64">
        <f>IF(Calcoli!$I$76=TRUE,Calcoli!F110,0)</f>
        <v>0</v>
      </c>
      <c r="H68" s="64">
        <f>IF(Calcoli!$I$76=TRUE,Calcoli!G110,0)</f>
        <v>0</v>
      </c>
      <c r="I68" s="64">
        <f>IF(Calcoli!$I$76=TRUE,Calcoli!H110,0)</f>
        <v>0</v>
      </c>
      <c r="J68" s="64">
        <f>IF(Calcoli!$I$76=TRUE,Calcoli!I110,0)</f>
        <v>0</v>
      </c>
      <c r="K68" s="64">
        <f>IF(Calcoli!$I$76=TRUE,Calcoli!J110,0)</f>
        <v>0</v>
      </c>
      <c r="L68" s="64">
        <f>IF(Calcoli!$I$76=TRUE,Calcoli!K110,0)</f>
        <v>0</v>
      </c>
      <c r="M68" s="64">
        <f>IF(Calcoli!$I$76=TRUE,Calcoli!L110,0)</f>
        <v>0</v>
      </c>
      <c r="N68" s="64">
        <f>IF(Calcoli!$I$76=TRUE,Calcoli!M110,0)</f>
        <v>0</v>
      </c>
      <c r="O68" s="64">
        <f>IF(Calcoli!$I$76=TRUE,Calcoli!N110,0)</f>
        <v>0</v>
      </c>
      <c r="P68" s="64">
        <f>IF(Calcoli!$I$76=TRUE,Calcoli!O110,0)</f>
        <v>0</v>
      </c>
      <c r="Q68" s="64">
        <f>IF(Calcoli!$I$76=TRUE,Calcoli!P110,0)</f>
        <v>0</v>
      </c>
      <c r="R68" s="64">
        <f>IF(Calcoli!$I$76=TRUE,Calcoli!Q110,0)</f>
        <v>0</v>
      </c>
      <c r="S68" s="64">
        <f>IF(Calcoli!$I$76=TRUE,Calcoli!R110,0)</f>
        <v>0</v>
      </c>
      <c r="T68" s="64">
        <f>IF(Calcoli!$I$76=TRUE,Calcoli!S110,0)</f>
        <v>0</v>
      </c>
      <c r="U68" s="64">
        <f>IF(Calcoli!$I$76=TRUE,Calcoli!T110,0)</f>
        <v>0</v>
      </c>
      <c r="V68" s="64">
        <f>IF(Calcoli!$I$76=TRUE,Calcoli!U110,0)</f>
        <v>0</v>
      </c>
      <c r="W68" s="64">
        <f>IF(Calcoli!$I$76=TRUE,Calcoli!V110,0)</f>
        <v>0</v>
      </c>
      <c r="X68" s="64">
        <f>IF(Calcoli!$I$76=TRUE,Calcoli!W110,0)</f>
        <v>0</v>
      </c>
      <c r="Y68" s="64">
        <f>IF(Calcoli!$I$76=TRUE,Calcoli!X110,0)</f>
        <v>0</v>
      </c>
      <c r="Z68" s="64">
        <f>IF(Calcoli!$I$76=TRUE,Calcoli!Y110,0)</f>
        <v>0</v>
      </c>
      <c r="AA68" s="64">
        <f>IF(Calcoli!$I$76=TRUE,Calcoli!Z110,0)</f>
        <v>0</v>
      </c>
      <c r="AB68" s="64">
        <f>IF(Calcoli!$I$76=TRUE,Calcoli!AA110,0)</f>
        <v>0</v>
      </c>
      <c r="AC68" s="64">
        <f>IF(Calcoli!$I$76=TRUE,Calcoli!AB110,0)</f>
        <v>0</v>
      </c>
    </row>
    <row r="69" spans="1:29" ht="15.75">
      <c r="A69" s="154" t="s">
        <v>119</v>
      </c>
      <c r="B69" s="155"/>
      <c r="C69" s="60"/>
      <c r="D69" s="60"/>
      <c r="E69" s="149">
        <f>IF(Calcoli!$I$78=TRUE,E67/100*$K$21,0)</f>
        <v>0</v>
      </c>
      <c r="F69" s="149">
        <f>IF(Calcoli!$I$78=TRUE,F67/100*$K$21,0)</f>
        <v>0</v>
      </c>
      <c r="G69" s="149">
        <f>IF(Calcoli!$I$78=TRUE,G67/100*$K$21,0)</f>
        <v>0</v>
      </c>
      <c r="H69" s="149">
        <f>IF(Calcoli!$I$78=TRUE,H67/100*$K$21,0)</f>
        <v>0</v>
      </c>
      <c r="I69" s="149">
        <f>IF(Calcoli!$I$78=TRUE,I67/100*$K$21,0)</f>
        <v>0</v>
      </c>
      <c r="J69" s="149">
        <f>IF(Calcoli!$I$78=TRUE,J67/100*$K$21,0)</f>
        <v>0</v>
      </c>
      <c r="K69" s="149">
        <f>IF(Calcoli!$I$78=TRUE,K67/100*$K$21,0)</f>
        <v>0</v>
      </c>
      <c r="L69" s="149">
        <f>IF(Calcoli!$I$78=TRUE,L67/100*$K$21,0)</f>
        <v>0</v>
      </c>
      <c r="M69" s="149">
        <f>IF(Calcoli!$I$78=TRUE,M67/100*$K$21,0)</f>
        <v>0</v>
      </c>
      <c r="N69" s="149">
        <f>IF(Calcoli!$I$78=TRUE,N67/100*$K$21,0)</f>
        <v>0</v>
      </c>
      <c r="O69" s="149">
        <f>IF(Calcoli!$I$78=TRUE,O67/100*$K$21,0)</f>
        <v>0</v>
      </c>
      <c r="P69" s="149">
        <f>IF(Calcoli!$I$78=TRUE,P67/100*$K$21,0)</f>
        <v>0</v>
      </c>
      <c r="Q69" s="149">
        <f>IF(Calcoli!$I$78=TRUE,Q67/100*$K$21,0)</f>
        <v>0</v>
      </c>
      <c r="R69" s="149">
        <f>IF(Calcoli!$I$78=TRUE,R67/100*$K$21,0)</f>
        <v>0</v>
      </c>
      <c r="S69" s="149">
        <f>IF(Calcoli!$I$78=TRUE,S67/100*$K$21,0)</f>
        <v>0</v>
      </c>
      <c r="T69" s="149">
        <f>IF(Calcoli!$I$78=TRUE,T67/100*$K$21,0)</f>
        <v>0</v>
      </c>
      <c r="U69" s="149">
        <f>IF(Calcoli!$I$78=TRUE,U67/100*$K$21,0)</f>
        <v>0</v>
      </c>
      <c r="V69" s="149">
        <f>IF(Calcoli!$I$78=TRUE,V67/100*$K$21,0)</f>
        <v>0</v>
      </c>
      <c r="W69" s="149">
        <f>IF(Calcoli!$I$78=TRUE,W67/100*$K$21,0)</f>
        <v>0</v>
      </c>
      <c r="X69" s="149">
        <f>IF(Calcoli!$I$78=TRUE,X67/100*$K$21,0)</f>
        <v>0</v>
      </c>
      <c r="Y69" s="149">
        <f>IF(Calcoli!$I$78=TRUE,Y67/100*$K$21,0)</f>
        <v>0</v>
      </c>
      <c r="Z69" s="149">
        <f>IF(Calcoli!$I$78=TRUE,Z67/100*$K$21,0)</f>
        <v>0</v>
      </c>
      <c r="AA69" s="149">
        <f>IF(Calcoli!$I$78=TRUE,AA67/100*$K$21,0)</f>
        <v>0</v>
      </c>
      <c r="AB69" s="149">
        <f>IF(Calcoli!$I$78=TRUE,AB67/100*$K$21,0)</f>
        <v>0</v>
      </c>
      <c r="AC69" s="149">
        <f>IF(Calcoli!$I$78=TRUE,AC67/100*$K$21,0)</f>
        <v>0</v>
      </c>
    </row>
    <row r="70" spans="1:29" ht="15.75">
      <c r="A70" s="154" t="s">
        <v>90</v>
      </c>
      <c r="B70" s="155"/>
      <c r="C70" s="60"/>
      <c r="D70" s="60"/>
      <c r="E70" s="64">
        <f>IF(Calcoli!$I$74=TRUE,E67/100*$K$19,0)</f>
        <v>0</v>
      </c>
      <c r="F70" s="64">
        <f>IF(Calcoli!$I$74=TRUE,F67/100*$K$19,0)</f>
        <v>0</v>
      </c>
      <c r="G70" s="64">
        <f>IF(Calcoli!$I$74=TRUE,G67/100*$K$19,0)</f>
        <v>0</v>
      </c>
      <c r="H70" s="64">
        <f>IF(Calcoli!$I$74=TRUE,H67/100*$K$19,0)</f>
        <v>0</v>
      </c>
      <c r="I70" s="64">
        <f>IF(Calcoli!$I$74=TRUE,I67/100*$K$19,0)</f>
        <v>0</v>
      </c>
      <c r="J70" s="64">
        <f>IF(Calcoli!$I$74=TRUE,J67/100*$K$19,0)</f>
        <v>0</v>
      </c>
      <c r="K70" s="64">
        <f>IF(Calcoli!$I$74=TRUE,K67/100*$K$19,0)</f>
        <v>0</v>
      </c>
      <c r="L70" s="64">
        <f>IF(Calcoli!$I$74=TRUE,L67/100*$K$19,0)</f>
        <v>0</v>
      </c>
      <c r="M70" s="64">
        <f>IF(Calcoli!$I$74=TRUE,M67/100*$K$19,0)</f>
        <v>0</v>
      </c>
      <c r="N70" s="64">
        <f>IF(Calcoli!$I$74=TRUE,N67/100*$K$19,0)</f>
        <v>0</v>
      </c>
      <c r="O70" s="64">
        <f>IF(Calcoli!$I$74=TRUE,O67/100*$K$19,0)</f>
        <v>0</v>
      </c>
      <c r="P70" s="64">
        <f>IF(Calcoli!$I$74=TRUE,P67/100*$K$19,0)</f>
        <v>0</v>
      </c>
      <c r="Q70" s="64">
        <f>IF(Calcoli!$I$74=TRUE,Q67/100*$K$19,0)</f>
        <v>0</v>
      </c>
      <c r="R70" s="64">
        <f>IF(Calcoli!$I$74=TRUE,R67/100*$K$19,0)</f>
        <v>0</v>
      </c>
      <c r="S70" s="64">
        <f>IF(Calcoli!$I$74=TRUE,S67/100*$K$19,0)</f>
        <v>0</v>
      </c>
      <c r="T70" s="64">
        <f>IF(Calcoli!$I$74=TRUE,T67/100*$K$19,0)</f>
        <v>0</v>
      </c>
      <c r="U70" s="64">
        <f>IF(Calcoli!$I$74=TRUE,U67/100*$K$19,0)</f>
        <v>0</v>
      </c>
      <c r="V70" s="64">
        <f>IF(Calcoli!$I$74=TRUE,V67/100*$K$19,0)</f>
        <v>0</v>
      </c>
      <c r="W70" s="64">
        <f>IF(Calcoli!$I$74=TRUE,W67/100*$K$19,0)</f>
        <v>0</v>
      </c>
      <c r="X70" s="64">
        <f>IF(Calcoli!$I$74=TRUE,X67/100*$K$19,0)</f>
        <v>0</v>
      </c>
      <c r="Y70" s="64">
        <f>IF(Calcoli!$I$74=TRUE,Y67/100*$K$19,0)</f>
        <v>0</v>
      </c>
      <c r="Z70" s="64">
        <f>IF(Calcoli!$I$74=TRUE,Z67/100*$K$19,0)</f>
        <v>0</v>
      </c>
      <c r="AA70" s="64">
        <f>IF(Calcoli!$I$74=TRUE,AA67/100*$K$19,0)</f>
        <v>0</v>
      </c>
      <c r="AB70" s="64">
        <f>IF(Calcoli!$I$74=TRUE,AB67/100*$K$19,0)</f>
        <v>0</v>
      </c>
      <c r="AC70" s="64">
        <f>IF(Calcoli!$I$74=TRUE,AC67/100*$K$19,0)</f>
        <v>0</v>
      </c>
    </row>
    <row r="71" spans="1:29" ht="15.75">
      <c r="A71" s="156" t="s">
        <v>41</v>
      </c>
      <c r="B71" s="157"/>
      <c r="C71" s="60"/>
      <c r="D71" s="60"/>
      <c r="E71" s="146">
        <f>$C$38</f>
        <v>150</v>
      </c>
      <c r="F71" s="146">
        <f t="shared" ref="F71:AC71" si="28">$C$38</f>
        <v>150</v>
      </c>
      <c r="G71" s="146">
        <f t="shared" si="28"/>
        <v>150</v>
      </c>
      <c r="H71" s="146">
        <f t="shared" si="28"/>
        <v>150</v>
      </c>
      <c r="I71" s="146">
        <f t="shared" si="28"/>
        <v>150</v>
      </c>
      <c r="J71" s="146">
        <f t="shared" si="28"/>
        <v>150</v>
      </c>
      <c r="K71" s="146">
        <f t="shared" si="28"/>
        <v>150</v>
      </c>
      <c r="L71" s="146">
        <f t="shared" si="28"/>
        <v>150</v>
      </c>
      <c r="M71" s="146">
        <f t="shared" si="28"/>
        <v>150</v>
      </c>
      <c r="N71" s="146">
        <f t="shared" si="28"/>
        <v>150</v>
      </c>
      <c r="O71" s="146">
        <f t="shared" si="28"/>
        <v>150</v>
      </c>
      <c r="P71" s="146">
        <f t="shared" si="28"/>
        <v>150</v>
      </c>
      <c r="Q71" s="146">
        <f t="shared" si="28"/>
        <v>150</v>
      </c>
      <c r="R71" s="146">
        <f t="shared" si="28"/>
        <v>150</v>
      </c>
      <c r="S71" s="146">
        <f t="shared" si="28"/>
        <v>150</v>
      </c>
      <c r="T71" s="146">
        <f t="shared" si="28"/>
        <v>150</v>
      </c>
      <c r="U71" s="146">
        <f t="shared" si="28"/>
        <v>150</v>
      </c>
      <c r="V71" s="146">
        <f t="shared" si="28"/>
        <v>150</v>
      </c>
      <c r="W71" s="146">
        <f t="shared" si="28"/>
        <v>150</v>
      </c>
      <c r="X71" s="146">
        <f t="shared" si="28"/>
        <v>150</v>
      </c>
      <c r="Y71" s="146">
        <f t="shared" si="28"/>
        <v>150</v>
      </c>
      <c r="Z71" s="146">
        <f t="shared" si="28"/>
        <v>150</v>
      </c>
      <c r="AA71" s="146">
        <f t="shared" si="28"/>
        <v>150</v>
      </c>
      <c r="AB71" s="146">
        <f t="shared" si="28"/>
        <v>150</v>
      </c>
      <c r="AC71" s="146">
        <f t="shared" si="28"/>
        <v>150</v>
      </c>
    </row>
    <row r="72" spans="1:29" ht="15.75">
      <c r="A72" s="156" t="s">
        <v>81</v>
      </c>
      <c r="B72" s="157"/>
      <c r="C72" s="60"/>
      <c r="D72" s="60"/>
      <c r="E72" s="146">
        <f>IF(Calcoli!$D$1&lt;6,C40,0)</f>
        <v>9</v>
      </c>
      <c r="F72" s="146">
        <v>0</v>
      </c>
      <c r="G72" s="146">
        <v>0</v>
      </c>
      <c r="H72" s="146">
        <v>0</v>
      </c>
      <c r="I72" s="146">
        <v>0</v>
      </c>
      <c r="J72" s="146">
        <v>0</v>
      </c>
      <c r="K72" s="146">
        <v>0</v>
      </c>
      <c r="L72" s="146">
        <v>0</v>
      </c>
      <c r="M72" s="146">
        <v>0</v>
      </c>
      <c r="N72" s="146">
        <v>0</v>
      </c>
      <c r="O72" s="146">
        <v>0</v>
      </c>
      <c r="P72" s="146">
        <v>0</v>
      </c>
      <c r="Q72" s="146">
        <v>0</v>
      </c>
      <c r="R72" s="146">
        <v>0</v>
      </c>
      <c r="S72" s="146">
        <v>0</v>
      </c>
      <c r="T72" s="146">
        <v>0</v>
      </c>
      <c r="U72" s="146">
        <v>0</v>
      </c>
      <c r="V72" s="146">
        <v>0</v>
      </c>
      <c r="W72" s="146">
        <v>0</v>
      </c>
      <c r="X72" s="146">
        <v>0</v>
      </c>
      <c r="Y72" s="146">
        <v>0</v>
      </c>
      <c r="Z72" s="146">
        <v>0</v>
      </c>
      <c r="AA72" s="146">
        <v>0</v>
      </c>
      <c r="AB72" s="146">
        <v>0</v>
      </c>
      <c r="AC72" s="146">
        <v>0</v>
      </c>
    </row>
    <row r="73" spans="1:29" ht="15.75">
      <c r="A73" s="156" t="s">
        <v>80</v>
      </c>
      <c r="B73" s="157"/>
      <c r="C73" s="60"/>
      <c r="D73" s="60"/>
      <c r="E73" s="146">
        <f>IF(Calcoli!$D$1&lt;6,$C$41,0)</f>
        <v>1.8</v>
      </c>
      <c r="F73" s="146">
        <f>IF(Calcoli!$D$1&lt;6,$C$41,0)</f>
        <v>1.8</v>
      </c>
      <c r="G73" s="146">
        <f>IF(Calcoli!$D$1&lt;6,$C$41,0)</f>
        <v>1.8</v>
      </c>
      <c r="H73" s="146">
        <f>IF(Calcoli!$D$1&lt;6,$C$41,0)</f>
        <v>1.8</v>
      </c>
      <c r="I73" s="146">
        <f>IF(Calcoli!$D$1&lt;6,$C$41,0)</f>
        <v>1.8</v>
      </c>
      <c r="J73" s="146">
        <f>IF(Calcoli!$D$1&lt;6,$C$41,0)</f>
        <v>1.8</v>
      </c>
      <c r="K73" s="146">
        <f>IF(Calcoli!$D$1&lt;6,$C$41,0)</f>
        <v>1.8</v>
      </c>
      <c r="L73" s="146">
        <f>IF(Calcoli!$D$1&lt;6,$C$41,0)</f>
        <v>1.8</v>
      </c>
      <c r="M73" s="146">
        <f>IF(Calcoli!$D$1&lt;6,$C$41,0)</f>
        <v>1.8</v>
      </c>
      <c r="N73" s="146">
        <f>IF(Calcoli!$D$1&lt;6,$C$41,0)</f>
        <v>1.8</v>
      </c>
      <c r="O73" s="146">
        <f>IF(Calcoli!$D$1&lt;6,$C$41,0)</f>
        <v>1.8</v>
      </c>
      <c r="P73" s="146">
        <f>IF(Calcoli!$D$1&lt;6,$C$41,0)</f>
        <v>1.8</v>
      </c>
      <c r="Q73" s="146">
        <f>IF(Calcoli!$D$1&lt;6,$C$41,0)</f>
        <v>1.8</v>
      </c>
      <c r="R73" s="146">
        <f>IF(Calcoli!$D$1&lt;6,$C$41,0)</f>
        <v>1.8</v>
      </c>
      <c r="S73" s="146">
        <f>IF(Calcoli!$D$1&lt;6,$C$41,0)</f>
        <v>1.8</v>
      </c>
      <c r="T73" s="146">
        <f>IF(Calcoli!$D$1&lt;6,$C$41,0)</f>
        <v>1.8</v>
      </c>
      <c r="U73" s="146">
        <f>IF(Calcoli!$D$1&lt;6,$C$41,0)</f>
        <v>1.8</v>
      </c>
      <c r="V73" s="146">
        <f>IF(Calcoli!$D$1&lt;6,$C$41,0)</f>
        <v>1.8</v>
      </c>
      <c r="W73" s="146">
        <f>IF(Calcoli!$D$1&lt;6,$C$41,0)</f>
        <v>1.8</v>
      </c>
      <c r="X73" s="146">
        <f>IF(Calcoli!$D$1&lt;6,$C$41,0)</f>
        <v>1.8</v>
      </c>
      <c r="Y73" s="146">
        <f>IF(Calcoli!$D$1&lt;6,$C$41,0)</f>
        <v>1.8</v>
      </c>
      <c r="Z73" s="146">
        <f>IF(Calcoli!$D$1&lt;6,$C$41,0)</f>
        <v>1.8</v>
      </c>
      <c r="AA73" s="146">
        <f>IF(Calcoli!$D$1&lt;6,$C$41,0)</f>
        <v>1.8</v>
      </c>
      <c r="AB73" s="146">
        <f>IF(Calcoli!$D$1&lt;6,$C$41,0)</f>
        <v>1.8</v>
      </c>
      <c r="AC73" s="146">
        <f>IF(Calcoli!$D$1&lt;6,$C$41,0)</f>
        <v>1.8</v>
      </c>
    </row>
    <row r="74" spans="1:29" ht="15.75">
      <c r="A74" s="156" t="s">
        <v>135</v>
      </c>
      <c r="B74" s="157"/>
      <c r="C74" s="60"/>
      <c r="D74" s="60"/>
      <c r="E74" s="146">
        <f>$C$42</f>
        <v>242</v>
      </c>
      <c r="F74" s="146">
        <v>0</v>
      </c>
      <c r="G74" s="146">
        <v>0</v>
      </c>
      <c r="H74" s="146">
        <v>0</v>
      </c>
      <c r="I74" s="146">
        <v>0</v>
      </c>
      <c r="J74" s="146">
        <v>0</v>
      </c>
      <c r="K74" s="146">
        <v>0</v>
      </c>
      <c r="L74" s="146">
        <v>0</v>
      </c>
      <c r="M74" s="146">
        <v>0</v>
      </c>
      <c r="N74" s="146">
        <v>0</v>
      </c>
      <c r="O74" s="146">
        <v>0</v>
      </c>
      <c r="P74" s="146">
        <v>0</v>
      </c>
      <c r="Q74" s="146">
        <v>0</v>
      </c>
      <c r="R74" s="146">
        <v>0</v>
      </c>
      <c r="S74" s="146">
        <v>0</v>
      </c>
      <c r="T74" s="146">
        <v>0</v>
      </c>
      <c r="U74" s="146">
        <v>0</v>
      </c>
      <c r="V74" s="146">
        <v>0</v>
      </c>
      <c r="W74" s="146">
        <v>0</v>
      </c>
      <c r="X74" s="146">
        <v>0</v>
      </c>
      <c r="Y74" s="146">
        <v>0</v>
      </c>
      <c r="Z74" s="146">
        <v>0</v>
      </c>
      <c r="AA74" s="146">
        <v>0</v>
      </c>
      <c r="AB74" s="146">
        <v>0</v>
      </c>
      <c r="AC74" s="146">
        <v>0</v>
      </c>
    </row>
    <row r="75" spans="1:29" ht="15.75">
      <c r="A75" s="156" t="s">
        <v>85</v>
      </c>
      <c r="B75" s="157"/>
      <c r="C75" s="60"/>
      <c r="D75" s="60"/>
      <c r="E75" s="146">
        <f>$C$43</f>
        <v>100</v>
      </c>
      <c r="F75" s="146">
        <v>0</v>
      </c>
      <c r="G75" s="146">
        <v>0</v>
      </c>
      <c r="H75" s="146">
        <v>0</v>
      </c>
      <c r="I75" s="146">
        <v>0</v>
      </c>
      <c r="J75" s="146">
        <v>0</v>
      </c>
      <c r="K75" s="146">
        <v>0</v>
      </c>
      <c r="L75" s="146">
        <v>0</v>
      </c>
      <c r="M75" s="146">
        <v>0</v>
      </c>
      <c r="N75" s="146">
        <v>0</v>
      </c>
      <c r="O75" s="146">
        <v>0</v>
      </c>
      <c r="P75" s="146">
        <v>0</v>
      </c>
      <c r="Q75" s="146">
        <v>0</v>
      </c>
      <c r="R75" s="146">
        <v>0</v>
      </c>
      <c r="S75" s="146">
        <v>0</v>
      </c>
      <c r="T75" s="146">
        <v>0</v>
      </c>
      <c r="U75" s="146">
        <v>0</v>
      </c>
      <c r="V75" s="146">
        <v>0</v>
      </c>
      <c r="W75" s="146">
        <v>0</v>
      </c>
      <c r="X75" s="146">
        <v>0</v>
      </c>
      <c r="Y75" s="146">
        <v>0</v>
      </c>
      <c r="Z75" s="146">
        <v>0</v>
      </c>
      <c r="AA75" s="146">
        <v>0</v>
      </c>
      <c r="AB75" s="146">
        <v>0</v>
      </c>
      <c r="AC75" s="146">
        <v>0</v>
      </c>
    </row>
    <row r="76" spans="1:29" ht="16.5" thickBot="1">
      <c r="A76" s="156" t="s">
        <v>37</v>
      </c>
      <c r="B76" s="157"/>
      <c r="C76" s="60"/>
      <c r="D76" s="60"/>
      <c r="E76" s="146">
        <f>IF(E79&lt;=$C$45,$C$44,0)</f>
        <v>50</v>
      </c>
      <c r="F76" s="146">
        <f t="shared" ref="F76:AC76" si="29">IF(F79&lt;=$C$45,$C$44,0)</f>
        <v>50</v>
      </c>
      <c r="G76" s="146">
        <f t="shared" si="29"/>
        <v>50</v>
      </c>
      <c r="H76" s="146">
        <f t="shared" si="29"/>
        <v>50</v>
      </c>
      <c r="I76" s="146">
        <f t="shared" si="29"/>
        <v>50</v>
      </c>
      <c r="J76" s="146">
        <f t="shared" si="29"/>
        <v>50</v>
      </c>
      <c r="K76" s="146">
        <f t="shared" si="29"/>
        <v>50</v>
      </c>
      <c r="L76" s="146">
        <f t="shared" si="29"/>
        <v>50</v>
      </c>
      <c r="M76" s="146">
        <f t="shared" si="29"/>
        <v>50</v>
      </c>
      <c r="N76" s="146">
        <f t="shared" si="29"/>
        <v>50</v>
      </c>
      <c r="O76" s="146">
        <f t="shared" si="29"/>
        <v>50</v>
      </c>
      <c r="P76" s="146">
        <f t="shared" si="29"/>
        <v>50</v>
      </c>
      <c r="Q76" s="146">
        <f t="shared" si="29"/>
        <v>50</v>
      </c>
      <c r="R76" s="146">
        <f t="shared" si="29"/>
        <v>50</v>
      </c>
      <c r="S76" s="146">
        <f t="shared" si="29"/>
        <v>50</v>
      </c>
      <c r="T76" s="146">
        <f t="shared" si="29"/>
        <v>0</v>
      </c>
      <c r="U76" s="146">
        <f t="shared" si="29"/>
        <v>0</v>
      </c>
      <c r="V76" s="146">
        <f t="shared" si="29"/>
        <v>0</v>
      </c>
      <c r="W76" s="146">
        <f t="shared" si="29"/>
        <v>0</v>
      </c>
      <c r="X76" s="146">
        <f t="shared" si="29"/>
        <v>0</v>
      </c>
      <c r="Y76" s="146">
        <f t="shared" si="29"/>
        <v>0</v>
      </c>
      <c r="Z76" s="146">
        <f t="shared" si="29"/>
        <v>0</v>
      </c>
      <c r="AA76" s="146">
        <f t="shared" si="29"/>
        <v>0</v>
      </c>
      <c r="AB76" s="146">
        <f t="shared" si="29"/>
        <v>0</v>
      </c>
      <c r="AC76" s="146">
        <f t="shared" si="29"/>
        <v>0</v>
      </c>
    </row>
    <row r="77" spans="1:29" ht="16.5" thickBot="1">
      <c r="A77" s="62" t="s">
        <v>149</v>
      </c>
      <c r="B77" s="60"/>
      <c r="C77" s="60"/>
      <c r="D77" s="60"/>
      <c r="E77" s="140">
        <f>SUM(E68:E76)</f>
        <v>552.79999999999995</v>
      </c>
      <c r="F77" s="141">
        <f>SUM(F68:F76)</f>
        <v>201.8</v>
      </c>
      <c r="G77" s="141">
        <f t="shared" ref="G77:X77" si="30">SUM(G68:G76)</f>
        <v>201.8</v>
      </c>
      <c r="H77" s="141">
        <f t="shared" si="30"/>
        <v>201.8</v>
      </c>
      <c r="I77" s="141">
        <f t="shared" si="30"/>
        <v>201.8</v>
      </c>
      <c r="J77" s="141">
        <f t="shared" si="30"/>
        <v>201.8</v>
      </c>
      <c r="K77" s="141">
        <f t="shared" si="30"/>
        <v>201.8</v>
      </c>
      <c r="L77" s="141">
        <f t="shared" si="30"/>
        <v>201.8</v>
      </c>
      <c r="M77" s="141">
        <f t="shared" si="30"/>
        <v>201.8</v>
      </c>
      <c r="N77" s="141">
        <f t="shared" si="30"/>
        <v>201.8</v>
      </c>
      <c r="O77" s="141">
        <f t="shared" si="30"/>
        <v>201.8</v>
      </c>
      <c r="P77" s="141">
        <f t="shared" si="30"/>
        <v>201.8</v>
      </c>
      <c r="Q77" s="141">
        <f t="shared" si="30"/>
        <v>201.8</v>
      </c>
      <c r="R77" s="141">
        <f t="shared" si="30"/>
        <v>201.8</v>
      </c>
      <c r="S77" s="141">
        <f t="shared" si="30"/>
        <v>201.8</v>
      </c>
      <c r="T77" s="141">
        <f t="shared" si="30"/>
        <v>151.80000000000001</v>
      </c>
      <c r="U77" s="141">
        <f t="shared" si="30"/>
        <v>151.80000000000001</v>
      </c>
      <c r="V77" s="141">
        <f t="shared" si="30"/>
        <v>151.80000000000001</v>
      </c>
      <c r="W77" s="141">
        <f t="shared" si="30"/>
        <v>151.80000000000001</v>
      </c>
      <c r="X77" s="142">
        <f t="shared" si="30"/>
        <v>151.80000000000001</v>
      </c>
      <c r="Y77" s="142">
        <f t="shared" ref="Y77:AC77" si="31">SUM(Y68:Y76)</f>
        <v>151.80000000000001</v>
      </c>
      <c r="Z77" s="142">
        <f t="shared" si="31"/>
        <v>151.80000000000001</v>
      </c>
      <c r="AA77" s="142">
        <f t="shared" si="31"/>
        <v>151.80000000000001</v>
      </c>
      <c r="AB77" s="142">
        <f t="shared" si="31"/>
        <v>151.80000000000001</v>
      </c>
      <c r="AC77" s="142">
        <f t="shared" si="31"/>
        <v>151.80000000000001</v>
      </c>
    </row>
    <row r="78" spans="1:29" ht="11.25" customHeight="1">
      <c r="A78" s="50"/>
      <c r="B78" s="60"/>
      <c r="C78" s="60"/>
      <c r="D78" s="60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</row>
    <row r="79" spans="1:29" ht="16.5" thickBot="1">
      <c r="A79" s="62" t="s">
        <v>95</v>
      </c>
      <c r="B79" s="60"/>
      <c r="C79" s="60"/>
      <c r="D79" s="60"/>
      <c r="E79" s="66">
        <v>1</v>
      </c>
      <c r="F79" s="66">
        <v>2</v>
      </c>
      <c r="G79" s="66">
        <v>3</v>
      </c>
      <c r="H79" s="66">
        <v>4</v>
      </c>
      <c r="I79" s="66">
        <v>5</v>
      </c>
      <c r="J79" s="66">
        <v>6</v>
      </c>
      <c r="K79" s="66">
        <v>7</v>
      </c>
      <c r="L79" s="66">
        <v>8</v>
      </c>
      <c r="M79" s="66">
        <v>9</v>
      </c>
      <c r="N79" s="66">
        <v>10</v>
      </c>
      <c r="O79" s="66">
        <v>11</v>
      </c>
      <c r="P79" s="66">
        <v>12</v>
      </c>
      <c r="Q79" s="66">
        <v>13</v>
      </c>
      <c r="R79" s="66">
        <v>14</v>
      </c>
      <c r="S79" s="66">
        <v>15</v>
      </c>
      <c r="T79" s="66">
        <v>16</v>
      </c>
      <c r="U79" s="66">
        <v>17</v>
      </c>
      <c r="V79" s="66">
        <v>18</v>
      </c>
      <c r="W79" s="66">
        <v>19</v>
      </c>
      <c r="X79" s="66">
        <v>20</v>
      </c>
      <c r="Y79" s="66">
        <v>21</v>
      </c>
      <c r="Z79" s="66">
        <v>22</v>
      </c>
      <c r="AA79" s="66">
        <v>23</v>
      </c>
      <c r="AB79" s="66">
        <v>24</v>
      </c>
      <c r="AC79" s="66">
        <v>25</v>
      </c>
    </row>
    <row r="80" spans="1:29" ht="16.5" thickBot="1">
      <c r="A80" s="62" t="s">
        <v>150</v>
      </c>
      <c r="B80" s="60"/>
      <c r="C80" s="60"/>
      <c r="D80" s="60"/>
      <c r="E80" s="67">
        <f>(-(C3*C37))+E64-E77</f>
        <v>-4143.8</v>
      </c>
      <c r="F80" s="67">
        <f t="shared" ref="F80:X80" si="32">E80+F64-F77</f>
        <v>-3435.6136000000006</v>
      </c>
      <c r="G80" s="67">
        <f t="shared" si="32"/>
        <v>-2725.8049795200009</v>
      </c>
      <c r="H80" s="67">
        <f t="shared" si="32"/>
        <v>-2013.7030964178568</v>
      </c>
      <c r="I80" s="67">
        <f t="shared" si="32"/>
        <v>-1298.5994795581514</v>
      </c>
      <c r="J80" s="67">
        <f t="shared" si="32"/>
        <v>-579.74588716945573</v>
      </c>
      <c r="K80" s="67">
        <f t="shared" si="32"/>
        <v>143.64817728917757</v>
      </c>
      <c r="L80" s="67">
        <f t="shared" si="32"/>
        <v>872.41810042911493</v>
      </c>
      <c r="M80" s="67">
        <f t="shared" si="32"/>
        <v>1607.446954604756</v>
      </c>
      <c r="N80" s="67">
        <f t="shared" si="32"/>
        <v>2349.6684637219805</v>
      </c>
      <c r="O80" s="67">
        <f t="shared" si="32"/>
        <v>3100.0701495403828</v>
      </c>
      <c r="P80" s="67">
        <f t="shared" si="32"/>
        <v>3859.6966694571793</v>
      </c>
      <c r="Q80" s="67">
        <f t="shared" si="32"/>
        <v>4629.6533574289397</v>
      </c>
      <c r="R80" s="67">
        <f t="shared" si="32"/>
        <v>5411.1099803961588</v>
      </c>
      <c r="S80" s="67">
        <f t="shared" si="32"/>
        <v>6205.3047233276793</v>
      </c>
      <c r="T80" s="67">
        <f t="shared" si="32"/>
        <v>7063.5484167996883</v>
      </c>
      <c r="U80" s="67">
        <f t="shared" si="32"/>
        <v>7937.2290218702219</v>
      </c>
      <c r="V80" s="67">
        <f t="shared" si="32"/>
        <v>8827.8163879077947</v>
      </c>
      <c r="W80" s="67">
        <f t="shared" si="32"/>
        <v>9736.867299985006</v>
      </c>
      <c r="X80" s="67">
        <f t="shared" si="32"/>
        <v>10666.030833458168</v>
      </c>
      <c r="Y80" s="67">
        <f t="shared" ref="Y80" si="33">X80+Y64-Y77</f>
        <v>11311.767277645964</v>
      </c>
      <c r="Z80" s="67">
        <f t="shared" ref="Z80" si="34">Y80+Z64-Z77</f>
        <v>11980.859354982573</v>
      </c>
      <c r="AA80" s="67">
        <f t="shared" ref="AA80" si="35">Z80+AA64-AA77</f>
        <v>12675.209640824773</v>
      </c>
      <c r="AB80" s="67">
        <f t="shared" ref="AB80" si="36">AA80+AB64-AB77</f>
        <v>13396.83717096763</v>
      </c>
      <c r="AC80" s="67">
        <f t="shared" ref="AC80" si="37">AB80+AC64-AC77</f>
        <v>14147.884617921087</v>
      </c>
    </row>
    <row r="81" spans="1:29" ht="15.75" thickBot="1"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</row>
    <row r="82" spans="1:29" ht="15.75" thickBot="1">
      <c r="A82" s="137"/>
      <c r="B82" s="68" t="s">
        <v>146</v>
      </c>
    </row>
    <row r="83" spans="1:29" ht="15.75" thickBot="1">
      <c r="A83" s="144"/>
      <c r="B83" s="68" t="s">
        <v>147</v>
      </c>
    </row>
    <row r="84" spans="1:29" ht="15.75" thickBot="1">
      <c r="A84" s="138"/>
      <c r="B84" s="68" t="s">
        <v>144</v>
      </c>
    </row>
    <row r="85" spans="1:29" ht="15.75" thickBot="1">
      <c r="A85" s="147"/>
      <c r="B85" s="68" t="s">
        <v>145</v>
      </c>
    </row>
    <row r="86" spans="1:29">
      <c r="A86" s="2"/>
      <c r="B86" s="139"/>
    </row>
  </sheetData>
  <sheetProtection formatCells="0" formatColumns="0" formatRows="0" insertColumns="0" insertRows="0" insertHyperlinks="0" deleteColumns="0" deleteRows="0" sort="0" autoFilter="0" pivotTables="0"/>
  <mergeCells count="13">
    <mergeCell ref="A1:G1"/>
    <mergeCell ref="I40:J40"/>
    <mergeCell ref="H38:I38"/>
    <mergeCell ref="A15:C15"/>
    <mergeCell ref="A18:C18"/>
    <mergeCell ref="A7:C7"/>
    <mergeCell ref="A9:C9"/>
    <mergeCell ref="A13:C13"/>
    <mergeCell ref="H24:O25"/>
    <mergeCell ref="I36:J36"/>
    <mergeCell ref="I37:J37"/>
    <mergeCell ref="I35:J35"/>
    <mergeCell ref="I39:J39"/>
  </mergeCells>
  <conditionalFormatting sqref="E80:X80">
    <cfRule type="cellIs" dxfId="54" priority="36" operator="greaterThan">
      <formula>0</formula>
    </cfRule>
    <cfRule type="cellIs" dxfId="53" priority="37" operator="lessThan">
      <formula>0</formula>
    </cfRule>
    <cfRule type="cellIs" dxfId="52" priority="53" operator="lessThan">
      <formula>0</formula>
    </cfRule>
    <cfRule type="cellIs" dxfId="51" priority="54" operator="greaterThan">
      <formula>0</formula>
    </cfRule>
    <cfRule type="cellIs" dxfId="50" priority="55" operator="greaterThan">
      <formula>0</formula>
    </cfRule>
  </conditionalFormatting>
  <conditionalFormatting sqref="E66:X70">
    <cfRule type="cellIs" dxfId="49" priority="38" operator="equal">
      <formula>0</formula>
    </cfRule>
    <cfRule type="cellIs" dxfId="48" priority="39" operator="equal">
      <formula>0</formula>
    </cfRule>
    <cfRule type="cellIs" dxfId="47" priority="40" operator="equal">
      <formula>0</formula>
    </cfRule>
    <cfRule type="cellIs" dxfId="46" priority="41" operator="equal">
      <formula>0</formula>
    </cfRule>
    <cfRule type="cellIs" dxfId="45" priority="42" operator="greaterThan">
      <formula>0</formula>
    </cfRule>
    <cfRule type="cellIs" dxfId="44" priority="43" operator="equal">
      <formula>0</formula>
    </cfRule>
    <cfRule type="cellIs" dxfId="43" priority="44" operator="greaterThan">
      <formula>0</formula>
    </cfRule>
    <cfRule type="cellIs" dxfId="42" priority="45" operator="greaterThan">
      <formula>0</formula>
    </cfRule>
    <cfRule type="cellIs" dxfId="41" priority="46" operator="equal">
      <formula>0</formula>
    </cfRule>
    <cfRule type="cellIs" dxfId="40" priority="47" operator="lessThan">
      <formula>0</formula>
    </cfRule>
    <cfRule type="cellIs" dxfId="39" priority="50" operator="lessThan">
      <formula>0</formula>
    </cfRule>
    <cfRule type="cellIs" dxfId="38" priority="51" operator="equal">
      <formula>0</formula>
    </cfRule>
    <cfRule type="cellIs" dxfId="37" priority="52" operator="greaterThan">
      <formula>0</formula>
    </cfRule>
  </conditionalFormatting>
  <conditionalFormatting sqref="E66:X66">
    <cfRule type="cellIs" dxfId="36" priority="48" operator="equal">
      <formula>0</formula>
    </cfRule>
    <cfRule type="cellIs" dxfId="35" priority="49" operator="lessThan">
      <formula>0</formula>
    </cfRule>
  </conditionalFormatting>
  <conditionalFormatting sqref="Y80:AC80">
    <cfRule type="cellIs" dxfId="34" priority="31" operator="greaterThan">
      <formula>0</formula>
    </cfRule>
    <cfRule type="cellIs" dxfId="33" priority="32" operator="lessThan">
      <formula>0</formula>
    </cfRule>
    <cfRule type="cellIs" dxfId="32" priority="33" operator="lessThan">
      <formula>0</formula>
    </cfRule>
    <cfRule type="cellIs" dxfId="31" priority="34" operator="greaterThan">
      <formula>0</formula>
    </cfRule>
    <cfRule type="cellIs" dxfId="30" priority="35" operator="greaterThan">
      <formula>0</formula>
    </cfRule>
  </conditionalFormatting>
  <conditionalFormatting sqref="Y66:AC70">
    <cfRule type="cellIs" dxfId="29" priority="15" operator="equal">
      <formula>0</formula>
    </cfRule>
    <cfRule type="cellIs" dxfId="28" priority="18" operator="equal">
      <formula>0</formula>
    </cfRule>
    <cfRule type="cellIs" dxfId="27" priority="19" operator="equal">
      <formula>0</formula>
    </cfRule>
    <cfRule type="cellIs" dxfId="26" priority="20" operator="equal">
      <formula>0</formula>
    </cfRule>
    <cfRule type="cellIs" dxfId="25" priority="21" operator="equal">
      <formula>0</formula>
    </cfRule>
    <cfRule type="cellIs" dxfId="24" priority="22" operator="greaterThan">
      <formula>0</formula>
    </cfRule>
    <cfRule type="cellIs" dxfId="23" priority="23" operator="equal">
      <formula>0</formula>
    </cfRule>
    <cfRule type="cellIs" dxfId="22" priority="24" operator="greaterThan">
      <formula>0</formula>
    </cfRule>
    <cfRule type="cellIs" dxfId="21" priority="25" operator="greaterThan">
      <formula>0</formula>
    </cfRule>
    <cfRule type="cellIs" dxfId="20" priority="26" operator="equal">
      <formula>0</formula>
    </cfRule>
    <cfRule type="cellIs" dxfId="19" priority="27" operator="lessThan">
      <formula>0</formula>
    </cfRule>
    <cfRule type="cellIs" dxfId="18" priority="28" operator="lessThan">
      <formula>0</formula>
    </cfRule>
    <cfRule type="cellIs" dxfId="17" priority="29" operator="equal">
      <formula>0</formula>
    </cfRule>
    <cfRule type="cellIs" dxfId="16" priority="30" operator="greaterThan">
      <formula>0</formula>
    </cfRule>
  </conditionalFormatting>
  <conditionalFormatting sqref="Y66:AC66">
    <cfRule type="cellIs" dxfId="15" priority="16" operator="equal">
      <formula>0</formula>
    </cfRule>
    <cfRule type="cellIs" dxfId="14" priority="17" operator="lessThan">
      <formula>0</formula>
    </cfRule>
  </conditionalFormatting>
  <conditionalFormatting sqref="Y67">
    <cfRule type="cellIs" dxfId="13" priority="2" operator="equal">
      <formula>0</formula>
    </cfRule>
    <cfRule type="cellIs" dxfId="12" priority="3" operator="equal">
      <formula>0</formula>
    </cfRule>
    <cfRule type="cellIs" dxfId="11" priority="4" operator="equal">
      <formula>0</formula>
    </cfRule>
    <cfRule type="cellIs" dxfId="10" priority="5" operator="equal">
      <formula>0</formula>
    </cfRule>
    <cfRule type="cellIs" dxfId="9" priority="6" operator="greaterThan">
      <formula>0</formula>
    </cfRule>
    <cfRule type="cellIs" dxfId="8" priority="7" operator="equal">
      <formula>0</formula>
    </cfRule>
    <cfRule type="cellIs" dxfId="7" priority="8" operator="greaterThan">
      <formula>0</formula>
    </cfRule>
    <cfRule type="cellIs" dxfId="6" priority="9" operator="greaterThan">
      <formula>0</formula>
    </cfRule>
    <cfRule type="cellIs" dxfId="5" priority="10" operator="equal">
      <formula>0</formula>
    </cfRule>
    <cfRule type="cellIs" dxfId="4" priority="11" operator="lessThan">
      <formula>0</formula>
    </cfRule>
    <cfRule type="cellIs" dxfId="3" priority="12" operator="lessThan">
      <formula>0</formula>
    </cfRule>
    <cfRule type="cellIs" dxfId="2" priority="13" operator="equal">
      <formula>0</formula>
    </cfRule>
    <cfRule type="cellIs" dxfId="1" priority="14" operator="greaterThan">
      <formula>0</formula>
    </cfRule>
  </conditionalFormatting>
  <conditionalFormatting sqref="E58:AC63">
    <cfRule type="cellIs" dxfId="0" priority="1" operator="equal">
      <formula>0</formula>
    </cfRule>
  </conditionalFormatting>
  <hyperlinks>
    <hyperlink ref="F29" r:id="rId1"/>
  </hyperlinks>
  <pageMargins left="0.70866141732283472" right="0.70866141732283472" top="0.74803149606299213" bottom="0.74803149606299213" header="0.31496062992125984" footer="0.31496062992125984"/>
  <pageSetup paperSize="8" scale="72" orientation="landscape" r:id="rId2"/>
  <ignoredErrors>
    <ignoredError sqref="C40:C41" unlocked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242"/>
  <sheetViews>
    <sheetView topLeftCell="A33" zoomScaleNormal="100" workbookViewId="0">
      <selection activeCell="A230" sqref="A230"/>
    </sheetView>
  </sheetViews>
  <sheetFormatPr defaultRowHeight="15"/>
  <cols>
    <col min="1" max="2" width="9.140625" style="6" customWidth="1"/>
    <col min="3" max="3" width="12.140625" style="6" customWidth="1"/>
    <col min="4" max="4" width="11.28515625" style="6" customWidth="1"/>
    <col min="5" max="5" width="10.85546875" style="6" customWidth="1"/>
    <col min="6" max="6" width="11.28515625" style="6" customWidth="1"/>
    <col min="7" max="7" width="9.140625" style="6" customWidth="1"/>
    <col min="8" max="8" width="9.5703125" style="6" customWidth="1"/>
    <col min="9" max="9" width="8.7109375" style="6" customWidth="1"/>
    <col min="10" max="11" width="9.140625" style="6" customWidth="1"/>
    <col min="12" max="12" width="8.5703125" style="6" customWidth="1"/>
    <col min="13" max="13" width="9.140625" style="6" customWidth="1"/>
    <col min="14" max="14" width="9.85546875" style="6" customWidth="1"/>
    <col min="15" max="15" width="9.7109375" style="6" customWidth="1"/>
    <col min="16" max="16" width="9.140625" style="6" customWidth="1"/>
    <col min="17" max="17" width="9.140625" style="86" customWidth="1"/>
    <col min="18" max="21" width="9.140625" style="6" customWidth="1"/>
    <col min="22" max="16384" width="9.140625" style="6"/>
  </cols>
  <sheetData>
    <row r="1" spans="4:27" s="1" customFormat="1" ht="18.75">
      <c r="D1" s="205">
        <v>1</v>
      </c>
      <c r="E1" s="2" t="s">
        <v>103</v>
      </c>
      <c r="F1" s="3"/>
      <c r="H1" s="2" t="s">
        <v>17</v>
      </c>
      <c r="I1" s="2"/>
      <c r="J1" s="2"/>
      <c r="K1" s="2">
        <v>1</v>
      </c>
      <c r="L1" s="2">
        <v>3</v>
      </c>
      <c r="M1" s="4">
        <f>'Simulazione 5.5'!C3</f>
        <v>3</v>
      </c>
      <c r="N1" s="2"/>
      <c r="O1" s="2"/>
      <c r="P1" s="2" t="b">
        <f>AND($K$1=1,$L$1=1,$M$1&lt;=20)</f>
        <v>0</v>
      </c>
      <c r="Q1" s="5">
        <v>0</v>
      </c>
      <c r="R1" s="2">
        <f>IF(P1=TRUE,Q1,0)</f>
        <v>0</v>
      </c>
    </row>
    <row r="2" spans="4:27">
      <c r="D2" s="206"/>
      <c r="E2" s="2" t="s">
        <v>104</v>
      </c>
      <c r="F2" s="7"/>
      <c r="H2" s="2" t="s">
        <v>16</v>
      </c>
      <c r="I2" s="2"/>
      <c r="J2" s="2"/>
      <c r="K2" s="2"/>
      <c r="P2" s="2" t="b">
        <f>AND($K$1=1,$L$1=2,$M$1&lt;=20)</f>
        <v>0</v>
      </c>
      <c r="Q2" s="5">
        <v>30</v>
      </c>
      <c r="R2" s="2">
        <f>IF(P2=TRUE,Q2,0)</f>
        <v>0</v>
      </c>
      <c r="U2" s="202" t="s">
        <v>164</v>
      </c>
      <c r="V2" s="202"/>
      <c r="W2" s="202"/>
      <c r="X2" s="202"/>
      <c r="Y2" s="202"/>
      <c r="Z2" s="202"/>
      <c r="AA2" s="202"/>
    </row>
    <row r="3" spans="4:27">
      <c r="D3" s="206"/>
      <c r="E3" s="2" t="s">
        <v>105</v>
      </c>
      <c r="F3" s="7"/>
      <c r="H3" s="2" t="s">
        <v>15</v>
      </c>
      <c r="I3" s="2"/>
      <c r="J3" s="2"/>
      <c r="K3" s="2"/>
      <c r="P3" s="2" t="b">
        <f>AND($K$1=1,$L$1=3,$M$1&lt;=20)</f>
        <v>1</v>
      </c>
      <c r="Q3" s="5">
        <v>20</v>
      </c>
      <c r="R3" s="2">
        <f t="shared" ref="R3" si="0">IF(P3=TRUE,Q3,0)</f>
        <v>20</v>
      </c>
      <c r="U3" s="201"/>
      <c r="V3" s="201"/>
      <c r="W3" s="201"/>
      <c r="X3" s="201"/>
      <c r="Y3" s="201"/>
      <c r="Z3" s="201"/>
      <c r="AA3" s="201"/>
    </row>
    <row r="4" spans="4:27">
      <c r="D4" s="206"/>
      <c r="E4" s="2" t="s">
        <v>106</v>
      </c>
      <c r="F4" s="7"/>
      <c r="H4" s="2"/>
      <c r="I4" s="2"/>
      <c r="J4" s="2"/>
      <c r="K4" s="2"/>
      <c r="P4" s="2" t="b">
        <f>AND($K$1=1,$L$1=4,$M$1&lt;=20)</f>
        <v>0</v>
      </c>
      <c r="Q4" s="18">
        <v>50</v>
      </c>
      <c r="R4" s="2">
        <f t="shared" ref="R4:R19" si="1">IF(P4=TRUE,Q4,0)</f>
        <v>0</v>
      </c>
      <c r="U4" s="201"/>
      <c r="V4" s="201"/>
      <c r="W4" s="201"/>
      <c r="X4" s="201"/>
      <c r="Y4" s="201"/>
      <c r="Z4" s="201"/>
      <c r="AA4" s="201"/>
    </row>
    <row r="5" spans="4:27">
      <c r="D5" s="206"/>
      <c r="E5" s="2" t="s">
        <v>107</v>
      </c>
      <c r="F5" s="7"/>
      <c r="H5" s="17"/>
      <c r="P5" s="2" t="b">
        <f>AND($K$1=2,$L$1=1,$M$1&lt;=20)</f>
        <v>0</v>
      </c>
      <c r="Q5" s="5">
        <v>0</v>
      </c>
      <c r="R5" s="2">
        <f t="shared" si="1"/>
        <v>0</v>
      </c>
      <c r="U5" s="201"/>
      <c r="V5" s="201"/>
      <c r="W5" s="201"/>
      <c r="X5" s="201"/>
      <c r="Y5" s="201"/>
      <c r="Z5" s="201"/>
      <c r="AA5" s="201"/>
    </row>
    <row r="6" spans="4:27" ht="15.75" thickBot="1">
      <c r="E6" s="17" t="s">
        <v>161</v>
      </c>
      <c r="H6" s="17"/>
      <c r="P6" s="2" t="b">
        <f>AND($K$1=2,$L$1=2,$M$1&lt;=20)</f>
        <v>0</v>
      </c>
      <c r="Q6" s="18">
        <v>20</v>
      </c>
      <c r="R6" s="2">
        <f t="shared" si="1"/>
        <v>0</v>
      </c>
      <c r="U6" s="201"/>
      <c r="V6" s="201"/>
      <c r="W6" s="201"/>
      <c r="X6" s="201"/>
      <c r="Y6" s="201"/>
      <c r="Z6" s="201"/>
      <c r="AA6" s="201"/>
    </row>
    <row r="7" spans="4:27">
      <c r="D7" s="205">
        <v>1</v>
      </c>
      <c r="E7" s="15" t="s">
        <v>0</v>
      </c>
      <c r="F7" s="16"/>
      <c r="H7" s="23"/>
      <c r="I7" s="15" t="s">
        <v>123</v>
      </c>
      <c r="J7" s="15"/>
      <c r="K7" s="15"/>
      <c r="L7" s="16"/>
      <c r="P7" s="2" t="b">
        <f>AND($K$1=2,$L$1=3,$M$1&lt;=20)</f>
        <v>0</v>
      </c>
      <c r="Q7" s="18">
        <v>10</v>
      </c>
      <c r="R7" s="2">
        <f t="shared" si="1"/>
        <v>0</v>
      </c>
      <c r="U7" s="201"/>
      <c r="V7" s="201"/>
      <c r="W7" s="201"/>
      <c r="X7" s="201"/>
      <c r="Y7" s="201"/>
      <c r="Z7" s="201"/>
      <c r="AA7" s="201"/>
    </row>
    <row r="8" spans="4:27" ht="15.75" thickBot="1">
      <c r="D8" s="207"/>
      <c r="E8" s="19" t="s">
        <v>1</v>
      </c>
      <c r="F8" s="20"/>
      <c r="H8" s="22"/>
      <c r="I8" s="2" t="s">
        <v>124</v>
      </c>
      <c r="J8" s="2"/>
      <c r="K8" s="2"/>
      <c r="L8" s="7"/>
      <c r="P8" s="2" t="b">
        <f>AND($K$1=2,$L$1=4,$M$1&lt;=20)</f>
        <v>0</v>
      </c>
      <c r="Q8" s="18">
        <v>30</v>
      </c>
      <c r="R8" s="2">
        <f t="shared" si="1"/>
        <v>0</v>
      </c>
      <c r="U8" s="201"/>
      <c r="V8" s="201"/>
      <c r="W8" s="201"/>
      <c r="X8" s="201"/>
      <c r="Y8" s="201"/>
      <c r="Z8" s="201"/>
      <c r="AA8" s="201"/>
    </row>
    <row r="9" spans="4:27" ht="15.75" thickBot="1">
      <c r="H9" s="29">
        <v>1</v>
      </c>
      <c r="I9" s="19" t="s">
        <v>125</v>
      </c>
      <c r="J9" s="19"/>
      <c r="K9" s="19"/>
      <c r="L9" s="20"/>
      <c r="P9" s="2" t="b">
        <f>AND($K$1=3,$L$1=1,$M$1&lt;=20)</f>
        <v>0</v>
      </c>
      <c r="Q9" s="5">
        <v>0</v>
      </c>
      <c r="R9" s="2">
        <f t="shared" si="1"/>
        <v>0</v>
      </c>
      <c r="U9" s="201"/>
      <c r="V9" s="201"/>
      <c r="W9" s="201"/>
      <c r="X9" s="201"/>
      <c r="Y9" s="201"/>
      <c r="Z9" s="201"/>
      <c r="AA9" s="201"/>
    </row>
    <row r="10" spans="4:27" ht="15.75" thickBot="1"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" t="b">
        <f>AND($K$1=3,$L$1=2,$M$1&lt;=20)</f>
        <v>0</v>
      </c>
      <c r="Q10" s="18">
        <v>10</v>
      </c>
      <c r="R10" s="2">
        <f t="shared" si="1"/>
        <v>0</v>
      </c>
      <c r="U10" s="201"/>
      <c r="V10" s="201"/>
      <c r="W10" s="201"/>
      <c r="X10" s="201"/>
      <c r="Y10" s="201"/>
      <c r="Z10" s="201"/>
      <c r="AA10" s="201"/>
    </row>
    <row r="11" spans="4:27">
      <c r="D11" s="23"/>
      <c r="E11" s="15"/>
      <c r="F11" s="203" t="s">
        <v>4</v>
      </c>
      <c r="G11" s="204"/>
      <c r="H11" s="86"/>
      <c r="I11" s="86"/>
      <c r="J11" s="83"/>
      <c r="K11" s="15"/>
      <c r="L11" s="203" t="s">
        <v>5</v>
      </c>
      <c r="M11" s="204"/>
      <c r="N11" s="2"/>
      <c r="O11" s="2"/>
      <c r="P11" s="2" t="b">
        <f>AND($K$1=3,$L$1=3,$M$1&lt;=20)</f>
        <v>0</v>
      </c>
      <c r="Q11" s="18">
        <v>5</v>
      </c>
      <c r="R11" s="2">
        <f t="shared" si="1"/>
        <v>0</v>
      </c>
      <c r="U11" s="201"/>
      <c r="V11" s="201"/>
      <c r="W11" s="201"/>
      <c r="X11" s="201"/>
      <c r="Y11" s="201"/>
      <c r="Z11" s="201"/>
      <c r="AA11" s="201"/>
    </row>
    <row r="12" spans="4:27">
      <c r="D12" s="22"/>
      <c r="E12" s="2"/>
      <c r="F12" s="5" t="s">
        <v>2</v>
      </c>
      <c r="G12" s="26" t="s">
        <v>3</v>
      </c>
      <c r="H12" s="86"/>
      <c r="I12" s="86"/>
      <c r="J12" s="84"/>
      <c r="K12" s="2"/>
      <c r="L12" s="5" t="s">
        <v>2</v>
      </c>
      <c r="M12" s="26" t="s">
        <v>3</v>
      </c>
      <c r="N12" s="27"/>
      <c r="O12" s="27"/>
      <c r="P12" s="2" t="b">
        <f>AND($K$1=3,$L$1=4,$M$1&lt;=20)</f>
        <v>0</v>
      </c>
      <c r="Q12" s="18">
        <v>15</v>
      </c>
      <c r="R12" s="2">
        <f t="shared" si="1"/>
        <v>0</v>
      </c>
      <c r="U12" s="201"/>
      <c r="V12" s="201"/>
      <c r="W12" s="201"/>
      <c r="X12" s="201"/>
      <c r="Y12" s="201"/>
      <c r="Z12" s="201"/>
      <c r="AA12" s="201"/>
    </row>
    <row r="13" spans="4:27">
      <c r="D13" s="22" t="b">
        <f>AND($D$1=1,$D$7=1,'Simulazione 5.5'!$C$3&lt;=3,'Simulazione 5.5'!$C$3&gt;=1)</f>
        <v>1</v>
      </c>
      <c r="E13" s="28" t="s">
        <v>6</v>
      </c>
      <c r="F13" s="5">
        <v>208</v>
      </c>
      <c r="G13" s="26">
        <f t="shared" ref="G13:G18" si="2">F13-82</f>
        <v>126</v>
      </c>
      <c r="H13" s="86">
        <f t="shared" ref="H13:H18" si="3">IF(D13=TRUE,F13,0)</f>
        <v>208</v>
      </c>
      <c r="I13" s="86">
        <f t="shared" ref="I13:I18" si="4">IF(D13=TRUE,G13,0)</f>
        <v>126</v>
      </c>
      <c r="J13" s="22" t="b">
        <f>AND($D$1=1,$D$7=2,'Simulazione 5.5'!$C$3&lt;=3,'Simulazione 5.5'!$C$3&gt;=1)</f>
        <v>0</v>
      </c>
      <c r="K13" s="28" t="s">
        <v>6</v>
      </c>
      <c r="L13" s="5">
        <v>201</v>
      </c>
      <c r="M13" s="26">
        <f t="shared" ref="M13:M18" si="5">L13-82</f>
        <v>119</v>
      </c>
      <c r="N13" s="5">
        <f>IF(J13=TRUE,L13,0)</f>
        <v>0</v>
      </c>
      <c r="O13" s="5">
        <f>IF(J13=TRUE,M13,0)</f>
        <v>0</v>
      </c>
      <c r="P13" s="2" t="b">
        <f>AND($K$1=1,$L$1=1,$M$1&gt;20)</f>
        <v>0</v>
      </c>
      <c r="Q13" s="86">
        <v>0</v>
      </c>
      <c r="R13" s="2">
        <f t="shared" si="1"/>
        <v>0</v>
      </c>
      <c r="U13" s="201"/>
      <c r="V13" s="201"/>
      <c r="W13" s="201"/>
      <c r="X13" s="201"/>
      <c r="Y13" s="201"/>
      <c r="Z13" s="201"/>
      <c r="AA13" s="201"/>
    </row>
    <row r="14" spans="4:27">
      <c r="D14" s="22" t="b">
        <f>AND($D$1=1,$D$7=1,'Simulazione 5.5'!$C$3&lt;=20,'Simulazione 5.5'!$C$3&gt;3)</f>
        <v>0</v>
      </c>
      <c r="E14" s="28" t="s">
        <v>7</v>
      </c>
      <c r="F14" s="5">
        <v>196</v>
      </c>
      <c r="G14" s="26">
        <f t="shared" si="2"/>
        <v>114</v>
      </c>
      <c r="H14" s="86">
        <f t="shared" si="3"/>
        <v>0</v>
      </c>
      <c r="I14" s="86">
        <f t="shared" si="4"/>
        <v>0</v>
      </c>
      <c r="J14" s="22" t="b">
        <f>AND($D$1=1,$D$7=2,'Simulazione 5.5'!$C$3&lt;=20,'Simulazione 5.5'!$C$3&gt;3)</f>
        <v>0</v>
      </c>
      <c r="K14" s="28" t="s">
        <v>7</v>
      </c>
      <c r="L14" s="5">
        <v>189</v>
      </c>
      <c r="M14" s="26">
        <f t="shared" si="5"/>
        <v>107</v>
      </c>
      <c r="N14" s="5">
        <f t="shared" ref="N14:N18" si="6">IF(J14=TRUE,L14,0)</f>
        <v>0</v>
      </c>
      <c r="O14" s="5">
        <f t="shared" ref="O14:O18" si="7">IF(J14=TRUE,M14,0)</f>
        <v>0</v>
      </c>
      <c r="P14" s="2" t="b">
        <f>AND($K$1=1,$L$1=2,$M$1&gt;20)</f>
        <v>0</v>
      </c>
      <c r="Q14" s="86">
        <v>20</v>
      </c>
      <c r="R14" s="2">
        <f t="shared" si="1"/>
        <v>0</v>
      </c>
      <c r="U14" s="201"/>
      <c r="V14" s="201"/>
      <c r="W14" s="201"/>
      <c r="X14" s="201"/>
      <c r="Y14" s="201"/>
      <c r="Z14" s="201"/>
      <c r="AA14" s="201"/>
    </row>
    <row r="15" spans="4:27" ht="22.5" customHeight="1">
      <c r="D15" s="22" t="b">
        <f>AND($D$1=1,$D$7=1,'Simulazione 5.5'!$C$3&lt;=200,'Simulazione 5.5'!$C$3&gt;20)</f>
        <v>0</v>
      </c>
      <c r="E15" s="28" t="s">
        <v>8</v>
      </c>
      <c r="F15" s="5">
        <v>175</v>
      </c>
      <c r="G15" s="26">
        <f t="shared" si="2"/>
        <v>93</v>
      </c>
      <c r="H15" s="86">
        <f t="shared" si="3"/>
        <v>0</v>
      </c>
      <c r="I15" s="86">
        <f t="shared" si="4"/>
        <v>0</v>
      </c>
      <c r="J15" s="22" t="b">
        <f>AND($D$1=1,$D$7=2,'Simulazione 5.5'!$C$3&lt;=200,'Simulazione 5.5'!$C$3&gt;20)</f>
        <v>0</v>
      </c>
      <c r="K15" s="28" t="s">
        <v>8</v>
      </c>
      <c r="L15" s="5">
        <v>168</v>
      </c>
      <c r="M15" s="26">
        <f t="shared" si="5"/>
        <v>86</v>
      </c>
      <c r="N15" s="5">
        <f t="shared" si="6"/>
        <v>0</v>
      </c>
      <c r="O15" s="5">
        <f t="shared" si="7"/>
        <v>0</v>
      </c>
      <c r="P15" s="2" t="b">
        <f>AND($K$1=1,$L$1=3,$M$1&gt;20)</f>
        <v>0</v>
      </c>
      <c r="Q15" s="86">
        <v>20</v>
      </c>
      <c r="R15" s="2">
        <f t="shared" si="1"/>
        <v>0</v>
      </c>
      <c r="U15" s="201"/>
      <c r="V15" s="201"/>
      <c r="W15" s="201"/>
      <c r="X15" s="201"/>
      <c r="Y15" s="201"/>
      <c r="Z15" s="201"/>
      <c r="AA15" s="201"/>
    </row>
    <row r="16" spans="4:27" ht="13.5" customHeight="1">
      <c r="D16" s="22" t="b">
        <f>AND($D$1=1,$D$7=1,'Simulazione 5.5'!$C$3&lt;=1000,'Simulazione 5.5'!$C$3&gt;200)</f>
        <v>0</v>
      </c>
      <c r="E16" s="28" t="s">
        <v>9</v>
      </c>
      <c r="F16" s="5">
        <v>142</v>
      </c>
      <c r="G16" s="26">
        <f t="shared" si="2"/>
        <v>60</v>
      </c>
      <c r="H16" s="86">
        <f t="shared" si="3"/>
        <v>0</v>
      </c>
      <c r="I16" s="86">
        <f t="shared" si="4"/>
        <v>0</v>
      </c>
      <c r="J16" s="22" t="b">
        <f>AND($D$1=1,$D$7=2,'Simulazione 5.5'!$C$3&lt;=1000,'Simulazione 5.5'!$C$3&gt;200)</f>
        <v>0</v>
      </c>
      <c r="K16" s="28" t="s">
        <v>9</v>
      </c>
      <c r="L16" s="5">
        <v>135</v>
      </c>
      <c r="M16" s="26">
        <f t="shared" si="5"/>
        <v>53</v>
      </c>
      <c r="N16" s="5">
        <f t="shared" si="6"/>
        <v>0</v>
      </c>
      <c r="O16" s="5">
        <f t="shared" si="7"/>
        <v>0</v>
      </c>
      <c r="P16" s="2" t="b">
        <f>AND($K$1=1,$L$1=4,$M$1&gt;20)</f>
        <v>0</v>
      </c>
      <c r="Q16" s="86">
        <v>40</v>
      </c>
      <c r="R16" s="2">
        <f t="shared" si="1"/>
        <v>0</v>
      </c>
    </row>
    <row r="17" spans="4:21">
      <c r="D17" s="22" t="b">
        <f>AND($D$1=1,$D$7=1,'Simulazione 5.5'!$C$3&lt;=5000,'Simulazione 5.5'!$C$3&gt;1000)</f>
        <v>0</v>
      </c>
      <c r="E17" s="28" t="s">
        <v>10</v>
      </c>
      <c r="F17" s="5">
        <v>126</v>
      </c>
      <c r="G17" s="26">
        <f t="shared" si="2"/>
        <v>44</v>
      </c>
      <c r="H17" s="86">
        <f t="shared" si="3"/>
        <v>0</v>
      </c>
      <c r="I17" s="86">
        <f t="shared" si="4"/>
        <v>0</v>
      </c>
      <c r="J17" s="22" t="b">
        <f>AND($D$1=1,$D$7=2,'Simulazione 5.5'!$C$3&lt;=5000,'Simulazione 5.5'!$C$3&gt;1000)</f>
        <v>0</v>
      </c>
      <c r="K17" s="28" t="s">
        <v>10</v>
      </c>
      <c r="L17" s="5">
        <v>120</v>
      </c>
      <c r="M17" s="26">
        <f t="shared" si="5"/>
        <v>38</v>
      </c>
      <c r="N17" s="5">
        <f t="shared" si="6"/>
        <v>0</v>
      </c>
      <c r="O17" s="5">
        <f t="shared" si="7"/>
        <v>0</v>
      </c>
      <c r="P17" s="2" t="b">
        <f>AND($K$1=2,$L$1=1,$M$1&gt;20)</f>
        <v>0</v>
      </c>
      <c r="Q17" s="86">
        <v>0</v>
      </c>
      <c r="R17" s="2">
        <f t="shared" si="1"/>
        <v>0</v>
      </c>
    </row>
    <row r="18" spans="4:21" ht="15.75" thickBot="1">
      <c r="D18" s="29" t="b">
        <f>AND($D$1=1,$D$7=1,'Simulazione 5.5'!$C$3&gt;=5000)</f>
        <v>0</v>
      </c>
      <c r="E18" s="35" t="s">
        <v>11</v>
      </c>
      <c r="F18" s="36">
        <v>119</v>
      </c>
      <c r="G18" s="37">
        <f t="shared" si="2"/>
        <v>37</v>
      </c>
      <c r="H18" s="86">
        <f t="shared" si="3"/>
        <v>0</v>
      </c>
      <c r="I18" s="86">
        <f t="shared" si="4"/>
        <v>0</v>
      </c>
      <c r="J18" s="29" t="b">
        <f>AND($D$1=1,$D$7=2,'Simulazione 5.5'!$C$3&gt;=5000)</f>
        <v>0</v>
      </c>
      <c r="K18" s="35" t="s">
        <v>11</v>
      </c>
      <c r="L18" s="36">
        <v>113</v>
      </c>
      <c r="M18" s="37">
        <f t="shared" si="5"/>
        <v>31</v>
      </c>
      <c r="N18" s="5">
        <f t="shared" si="6"/>
        <v>0</v>
      </c>
      <c r="O18" s="5">
        <f t="shared" si="7"/>
        <v>0</v>
      </c>
      <c r="P18" s="2" t="b">
        <f>AND($K$1=2,$L$1=2,$M$1&gt;20)</f>
        <v>0</v>
      </c>
      <c r="Q18" s="86">
        <v>10</v>
      </c>
      <c r="R18" s="2">
        <f t="shared" si="1"/>
        <v>0</v>
      </c>
    </row>
    <row r="19" spans="4:21" ht="15.75" thickBot="1">
      <c r="F19" s="86"/>
      <c r="G19" s="86"/>
      <c r="H19" s="42">
        <f>IF($H$9=1,H13+H14+H15+H16+H17+H18,0)</f>
        <v>208</v>
      </c>
      <c r="I19" s="42">
        <f>IF($H$9=1,I13+I14+I15+I16+I17+I18,0)</f>
        <v>126</v>
      </c>
      <c r="K19" s="86"/>
      <c r="L19" s="86"/>
      <c r="M19" s="86"/>
      <c r="N19" s="42">
        <f>IF($H$9=1,N13+N14+N15+N16+N17+N18,0)</f>
        <v>0</v>
      </c>
      <c r="O19" s="42">
        <f>IF($H$9=1,O13+O14+O15+O16+O17+O18,0)</f>
        <v>0</v>
      </c>
      <c r="P19" s="2" t="b">
        <f>AND($K$1=2,$L$1=3,$M$1&gt;20)</f>
        <v>0</v>
      </c>
      <c r="Q19" s="86">
        <v>10</v>
      </c>
      <c r="R19" s="2">
        <f t="shared" si="1"/>
        <v>0</v>
      </c>
    </row>
    <row r="20" spans="4:21" ht="24" customHeight="1">
      <c r="F20" s="86"/>
      <c r="G20" s="86"/>
      <c r="H20" s="5"/>
      <c r="I20" s="5"/>
      <c r="K20" s="86"/>
      <c r="L20" s="86"/>
      <c r="M20" s="86"/>
      <c r="N20" s="5"/>
      <c r="O20" s="5"/>
      <c r="P20" s="2" t="b">
        <f>AND($K$1=2,$L$1=4,$M$1&gt;20)</f>
        <v>0</v>
      </c>
      <c r="Q20" s="94">
        <v>20</v>
      </c>
      <c r="R20" s="2">
        <f t="shared" ref="R20" si="8">IF(P20=TRUE,Q20,0)</f>
        <v>0</v>
      </c>
    </row>
    <row r="21" spans="4:21" ht="12.75" customHeight="1" thickBot="1">
      <c r="F21" s="201"/>
      <c r="G21" s="201"/>
      <c r="H21" s="86"/>
      <c r="I21" s="86"/>
      <c r="K21" s="86"/>
      <c r="L21" s="201"/>
      <c r="M21" s="201"/>
      <c r="N21" s="86"/>
      <c r="O21" s="86"/>
      <c r="P21" s="2" t="b">
        <f>AND($K$1=3,$L$1=1,$M$1&gt;20)</f>
        <v>0</v>
      </c>
      <c r="Q21" s="49">
        <v>0</v>
      </c>
      <c r="R21" s="46">
        <f t="shared" ref="R21:R24" si="9">IF(P21=TRUE,Q21,0)</f>
        <v>0</v>
      </c>
    </row>
    <row r="22" spans="4:21" s="46" customFormat="1" ht="22.5" customHeight="1">
      <c r="D22" s="87"/>
      <c r="E22" s="88"/>
      <c r="F22" s="89" t="s">
        <v>2</v>
      </c>
      <c r="G22" s="90" t="s">
        <v>3</v>
      </c>
      <c r="H22" s="49"/>
      <c r="I22" s="49"/>
      <c r="J22" s="87"/>
      <c r="K22" s="88"/>
      <c r="L22" s="89" t="s">
        <v>2</v>
      </c>
      <c r="M22" s="90" t="s">
        <v>3</v>
      </c>
      <c r="N22" s="47"/>
      <c r="O22" s="47"/>
      <c r="P22" s="2" t="b">
        <f>AND($K$1=3,$L$1=2,$M$1&gt;20)</f>
        <v>0</v>
      </c>
      <c r="Q22" s="53">
        <v>5</v>
      </c>
      <c r="R22" s="11">
        <f t="shared" si="9"/>
        <v>0</v>
      </c>
    </row>
    <row r="23" spans="4:21" s="50" customFormat="1" ht="15.75">
      <c r="D23" s="22" t="b">
        <f>AND($D$1=2,$D$7=1,'Simulazione 5.5'!$C$3&lt;=3,'Simulazione 5.5'!$C$3&gt;=1)</f>
        <v>0</v>
      </c>
      <c r="E23" s="28" t="s">
        <v>6</v>
      </c>
      <c r="F23" s="51">
        <v>182</v>
      </c>
      <c r="G23" s="52">
        <f t="shared" ref="G23:G28" si="10">F23-82</f>
        <v>100</v>
      </c>
      <c r="H23" s="86">
        <f t="shared" ref="H23:H28" si="11">IF(D23=TRUE,F23,0)</f>
        <v>0</v>
      </c>
      <c r="I23" s="86">
        <f t="shared" ref="I23:I28" si="12">IF(D23=TRUE,G23,0)</f>
        <v>0</v>
      </c>
      <c r="J23" s="22" t="b">
        <f>AND($D$1=2,$D$7=2,'Simulazione 5.5'!$C$3&lt;=3,'Simulazione 5.5'!$C$3&gt;=1)</f>
        <v>0</v>
      </c>
      <c r="K23" s="28" t="s">
        <v>6</v>
      </c>
      <c r="L23" s="51">
        <v>176</v>
      </c>
      <c r="M23" s="52">
        <f t="shared" ref="M23:M28" si="13">L23-82</f>
        <v>94</v>
      </c>
      <c r="N23" s="5">
        <f>IF(J23=TRUE,L23,0)</f>
        <v>0</v>
      </c>
      <c r="O23" s="5">
        <f>IF(J23=TRUE,M23,0)</f>
        <v>0</v>
      </c>
      <c r="P23" s="2" t="b">
        <f>AND($K$1=3,$L$1=3,$M$1&gt;20)</f>
        <v>0</v>
      </c>
      <c r="Q23" s="53">
        <v>5</v>
      </c>
      <c r="R23" s="11">
        <f t="shared" si="9"/>
        <v>0</v>
      </c>
    </row>
    <row r="24" spans="4:21" s="50" customFormat="1" ht="15.75">
      <c r="D24" s="22" t="b">
        <f>AND($D$1=2,$D$7=1,'Simulazione 5.5'!$C$3&lt;=20,'Simulazione 5.5'!$C$3&gt;3)</f>
        <v>0</v>
      </c>
      <c r="E24" s="28" t="s">
        <v>7</v>
      </c>
      <c r="F24" s="51">
        <v>171</v>
      </c>
      <c r="G24" s="52">
        <f t="shared" si="10"/>
        <v>89</v>
      </c>
      <c r="H24" s="86">
        <f t="shared" si="11"/>
        <v>0</v>
      </c>
      <c r="I24" s="86">
        <f t="shared" si="12"/>
        <v>0</v>
      </c>
      <c r="J24" s="22" t="b">
        <f>AND($D$1=2,$D$7=2,'Simulazione 5.5'!$C$3&lt;=20,'Simulazione 5.5'!$C$3&gt;3)</f>
        <v>0</v>
      </c>
      <c r="K24" s="28" t="s">
        <v>7</v>
      </c>
      <c r="L24" s="51">
        <v>165</v>
      </c>
      <c r="M24" s="52">
        <f t="shared" si="13"/>
        <v>83</v>
      </c>
      <c r="N24" s="5">
        <f t="shared" ref="N24:N28" si="14">IF(J24=TRUE,L24,0)</f>
        <v>0</v>
      </c>
      <c r="O24" s="5">
        <f t="shared" ref="O24:O28" si="15">IF(J24=TRUE,M24,0)</f>
        <v>0</v>
      </c>
      <c r="P24" s="2" t="b">
        <f>AND($K$1=3,$L$1=4,$M$1&gt;20)</f>
        <v>0</v>
      </c>
      <c r="Q24" s="53">
        <v>10</v>
      </c>
      <c r="R24" s="11">
        <f t="shared" si="9"/>
        <v>0</v>
      </c>
    </row>
    <row r="25" spans="4:21" s="50" customFormat="1" ht="15.75">
      <c r="D25" s="22" t="b">
        <f>AND($D$1=2,$D$7=1,'Simulazione 5.5'!$C$3&lt;=200,'Simulazione 5.5'!$C$3&gt;20)</f>
        <v>0</v>
      </c>
      <c r="E25" s="28" t="s">
        <v>8</v>
      </c>
      <c r="F25" s="51">
        <v>157</v>
      </c>
      <c r="G25" s="52">
        <f t="shared" si="10"/>
        <v>75</v>
      </c>
      <c r="H25" s="86">
        <f t="shared" si="11"/>
        <v>0</v>
      </c>
      <c r="I25" s="86">
        <f t="shared" si="12"/>
        <v>0</v>
      </c>
      <c r="J25" s="22" t="b">
        <f>AND($D$1=2,$D$7=2,'Simulazione 5.5'!$C$3&lt;=200,'Simulazione 5.5'!$C$3&gt;20)</f>
        <v>0</v>
      </c>
      <c r="K25" s="28" t="s">
        <v>8</v>
      </c>
      <c r="L25" s="51">
        <v>151</v>
      </c>
      <c r="M25" s="52">
        <f t="shared" si="13"/>
        <v>69</v>
      </c>
      <c r="N25" s="5">
        <f t="shared" si="14"/>
        <v>0</v>
      </c>
      <c r="O25" s="5">
        <f t="shared" si="15"/>
        <v>0</v>
      </c>
      <c r="P25" s="11"/>
      <c r="Q25" s="53"/>
      <c r="R25" s="11"/>
    </row>
    <row r="26" spans="4:21" s="46" customFormat="1" ht="22.5" customHeight="1">
      <c r="D26" s="22" t="b">
        <f>AND($D$1=2,$D$7=1,'Simulazione 5.5'!$C$3&lt;=1000,'Simulazione 5.5'!$C$3&gt;200)</f>
        <v>0</v>
      </c>
      <c r="E26" s="28" t="s">
        <v>9</v>
      </c>
      <c r="F26" s="47">
        <v>130</v>
      </c>
      <c r="G26" s="48">
        <f t="shared" si="10"/>
        <v>48</v>
      </c>
      <c r="H26" s="86">
        <f t="shared" si="11"/>
        <v>0</v>
      </c>
      <c r="I26" s="86">
        <f t="shared" si="12"/>
        <v>0</v>
      </c>
      <c r="J26" s="22" t="b">
        <f>AND($D$1=2,$D$7=2,'Simulazione 5.5'!$C$3&lt;=1000,'Simulazione 5.5'!$C$3&gt;200)</f>
        <v>0</v>
      </c>
      <c r="K26" s="28" t="s">
        <v>9</v>
      </c>
      <c r="L26" s="47">
        <v>124</v>
      </c>
      <c r="M26" s="48">
        <f t="shared" si="13"/>
        <v>42</v>
      </c>
      <c r="N26" s="5">
        <f t="shared" si="14"/>
        <v>0</v>
      </c>
      <c r="O26" s="5">
        <f t="shared" si="15"/>
        <v>0</v>
      </c>
      <c r="Q26" s="49"/>
    </row>
    <row r="27" spans="4:21" s="50" customFormat="1" ht="15.75">
      <c r="D27" s="22" t="b">
        <f>AND($D$1=2,$D$7=1,'Simulazione 5.5'!$C$3&lt;=5000,'Simulazione 5.5'!$C$3&gt;1000)</f>
        <v>0</v>
      </c>
      <c r="E27" s="28" t="s">
        <v>10</v>
      </c>
      <c r="F27" s="51">
        <v>118</v>
      </c>
      <c r="G27" s="52">
        <f t="shared" si="10"/>
        <v>36</v>
      </c>
      <c r="H27" s="86">
        <f t="shared" si="11"/>
        <v>0</v>
      </c>
      <c r="I27" s="86">
        <f t="shared" si="12"/>
        <v>0</v>
      </c>
      <c r="J27" s="22" t="b">
        <f>AND($D$1=2,$D$7=2,'Simulazione 5.5'!$C$3&lt;=5000,'Simulazione 5.5'!$C$3&gt;1000)</f>
        <v>0</v>
      </c>
      <c r="K27" s="28" t="s">
        <v>10</v>
      </c>
      <c r="L27" s="51">
        <v>113</v>
      </c>
      <c r="M27" s="52">
        <f t="shared" si="13"/>
        <v>31</v>
      </c>
      <c r="N27" s="5">
        <f t="shared" si="14"/>
        <v>0</v>
      </c>
      <c r="O27" s="5">
        <f t="shared" si="15"/>
        <v>0</v>
      </c>
      <c r="Q27" s="53"/>
      <c r="R27" s="56">
        <f>SUM(R1:R26)</f>
        <v>20</v>
      </c>
    </row>
    <row r="28" spans="4:21" s="50" customFormat="1" ht="16.5" thickBot="1">
      <c r="D28" s="29" t="b">
        <f>AND($D$1=2,$D$7=1,'Simulazione 5.5'!$C$3&gt;=5000)</f>
        <v>0</v>
      </c>
      <c r="E28" s="35" t="s">
        <v>11</v>
      </c>
      <c r="F28" s="57">
        <v>112</v>
      </c>
      <c r="G28" s="58">
        <f t="shared" si="10"/>
        <v>30</v>
      </c>
      <c r="H28" s="86">
        <f t="shared" si="11"/>
        <v>0</v>
      </c>
      <c r="I28" s="86">
        <f t="shared" si="12"/>
        <v>0</v>
      </c>
      <c r="J28" s="29" t="b">
        <f>AND($D$1=2,$D$7=2,'Simulazione 5.5'!$C$3&gt;=5000)</f>
        <v>0</v>
      </c>
      <c r="K28" s="35" t="s">
        <v>11</v>
      </c>
      <c r="L28" s="57">
        <v>106</v>
      </c>
      <c r="M28" s="58">
        <f t="shared" si="13"/>
        <v>24</v>
      </c>
      <c r="N28" s="5">
        <f t="shared" si="14"/>
        <v>0</v>
      </c>
      <c r="O28" s="5">
        <f t="shared" si="15"/>
        <v>0</v>
      </c>
      <c r="Q28" s="53"/>
    </row>
    <row r="29" spans="4:21" s="50" customFormat="1" ht="16.5" thickBot="1">
      <c r="F29" s="53"/>
      <c r="G29" s="53"/>
      <c r="H29" s="42">
        <f>IF($H$9=1,H23+H24+H25+H26+H27+H28,0)</f>
        <v>0</v>
      </c>
      <c r="I29" s="42">
        <f>IF($H$9=1,I23+I24+I25+I26+I27+I28,0)</f>
        <v>0</v>
      </c>
      <c r="K29" s="53"/>
      <c r="L29" s="53"/>
      <c r="M29" s="53"/>
      <c r="N29" s="42">
        <f>IF($H$9=1,N23+N24+N25+N26+N27+N28,0)</f>
        <v>0</v>
      </c>
      <c r="O29" s="42">
        <f>IF($H$9=1,O23+O24+O25+O26+O27+O28,0)</f>
        <v>0</v>
      </c>
      <c r="Q29" s="53"/>
    </row>
    <row r="30" spans="4:21" s="50" customFormat="1" ht="15.75">
      <c r="Q30" s="59" t="s">
        <v>75</v>
      </c>
      <c r="S30" s="50">
        <f t="shared" ref="S30:S39" si="16">IF($R$41=T30,U30,0)</f>
        <v>0</v>
      </c>
      <c r="T30" s="50">
        <v>1</v>
      </c>
      <c r="U30" s="50">
        <v>10</v>
      </c>
    </row>
    <row r="31" spans="4:21" s="50" customFormat="1" ht="16.5" thickBot="1">
      <c r="Q31" s="59" t="s">
        <v>66</v>
      </c>
      <c r="S31" s="50">
        <f t="shared" si="16"/>
        <v>0</v>
      </c>
      <c r="T31" s="50">
        <v>2</v>
      </c>
      <c r="U31" s="50">
        <v>20</v>
      </c>
    </row>
    <row r="32" spans="4:21" s="50" customFormat="1" ht="15.75">
      <c r="D32" s="87"/>
      <c r="E32" s="88"/>
      <c r="F32" s="89" t="s">
        <v>2</v>
      </c>
      <c r="G32" s="90" t="s">
        <v>3</v>
      </c>
      <c r="H32" s="49"/>
      <c r="I32" s="49"/>
      <c r="J32" s="87"/>
      <c r="K32" s="88"/>
      <c r="L32" s="89" t="s">
        <v>2</v>
      </c>
      <c r="M32" s="90" t="s">
        <v>3</v>
      </c>
      <c r="N32" s="47"/>
      <c r="O32" s="47"/>
      <c r="Q32" s="59" t="s">
        <v>67</v>
      </c>
      <c r="S32" s="50">
        <f t="shared" si="16"/>
        <v>0</v>
      </c>
      <c r="T32" s="50">
        <v>3</v>
      </c>
      <c r="U32" s="50">
        <v>30</v>
      </c>
    </row>
    <row r="33" spans="4:21" s="50" customFormat="1" ht="15.75">
      <c r="D33" s="22" t="b">
        <f>AND($D$1=3,$D$7=1,'Simulazione 5.5'!$C$3&lt;=3,'Simulazione 5.5'!$C$3&gt;=1)</f>
        <v>0</v>
      </c>
      <c r="E33" s="28" t="s">
        <v>6</v>
      </c>
      <c r="F33" s="51">
        <v>157</v>
      </c>
      <c r="G33" s="52">
        <f t="shared" ref="G33:G38" si="17">F33-82</f>
        <v>75</v>
      </c>
      <c r="H33" s="86">
        <f t="shared" ref="H33:H38" si="18">IF(D33=TRUE,F33,0)</f>
        <v>0</v>
      </c>
      <c r="I33" s="86">
        <f t="shared" ref="I33:I38" si="19">IF(D33=TRUE,G33,0)</f>
        <v>0</v>
      </c>
      <c r="J33" s="22" t="b">
        <f>AND($D$1=3,$D$7=2,'Simulazione 5.5'!$C$3&lt;=3,'Simulazione 5.5'!$C$3&gt;=1)</f>
        <v>0</v>
      </c>
      <c r="K33" s="28" t="s">
        <v>6</v>
      </c>
      <c r="L33" s="51">
        <v>152</v>
      </c>
      <c r="M33" s="52">
        <f t="shared" ref="M33:M38" si="20">L33-82</f>
        <v>70</v>
      </c>
      <c r="N33" s="5">
        <f>IF(J33=TRUE,L33,0)</f>
        <v>0</v>
      </c>
      <c r="O33" s="5">
        <f>IF(J33=TRUE,M33,0)</f>
        <v>0</v>
      </c>
      <c r="Q33" s="59" t="s">
        <v>68</v>
      </c>
      <c r="S33" s="50">
        <f t="shared" si="16"/>
        <v>0</v>
      </c>
      <c r="T33" s="50">
        <v>4</v>
      </c>
      <c r="U33" s="50">
        <v>40</v>
      </c>
    </row>
    <row r="34" spans="4:21" s="50" customFormat="1" ht="15.75">
      <c r="D34" s="22" t="b">
        <f>AND($D$1=3,$D$7=1,'Simulazione 5.5'!$C$3&lt;=20,'Simulazione 5.5'!$C$3&gt;3)</f>
        <v>0</v>
      </c>
      <c r="E34" s="28" t="s">
        <v>7</v>
      </c>
      <c r="F34" s="51">
        <v>149</v>
      </c>
      <c r="G34" s="52">
        <f t="shared" si="17"/>
        <v>67</v>
      </c>
      <c r="H34" s="86">
        <f t="shared" si="18"/>
        <v>0</v>
      </c>
      <c r="I34" s="86">
        <f t="shared" si="19"/>
        <v>0</v>
      </c>
      <c r="J34" s="22" t="b">
        <f>AND($D$1=3,$D$7=2,'Simulazione 5.5'!$C$3&lt;=20,'Simulazione 5.5'!$C$3&gt;3)</f>
        <v>0</v>
      </c>
      <c r="K34" s="28" t="s">
        <v>7</v>
      </c>
      <c r="L34" s="51">
        <v>144</v>
      </c>
      <c r="M34" s="52">
        <f t="shared" si="20"/>
        <v>62</v>
      </c>
      <c r="N34" s="5">
        <f t="shared" ref="N34:N38" si="21">IF(J34=TRUE,L34,0)</f>
        <v>0</v>
      </c>
      <c r="O34" s="5">
        <f t="shared" ref="O34:O38" si="22">IF(J34=TRUE,M34,0)</f>
        <v>0</v>
      </c>
      <c r="Q34" s="59" t="s">
        <v>69</v>
      </c>
      <c r="S34" s="50">
        <f t="shared" si="16"/>
        <v>50</v>
      </c>
      <c r="T34" s="50">
        <v>5</v>
      </c>
      <c r="U34" s="50">
        <v>50</v>
      </c>
    </row>
    <row r="35" spans="4:21" ht="15.75">
      <c r="D35" s="22" t="b">
        <f>AND($D$1=3,$D$7=1,'Simulazione 5.5'!$C$3&lt;=200,'Simulazione 5.5'!$C$3&gt;20)</f>
        <v>0</v>
      </c>
      <c r="E35" s="28" t="s">
        <v>8</v>
      </c>
      <c r="F35" s="51">
        <v>141</v>
      </c>
      <c r="G35" s="52">
        <f t="shared" si="17"/>
        <v>59</v>
      </c>
      <c r="H35" s="86">
        <f t="shared" si="18"/>
        <v>0</v>
      </c>
      <c r="I35" s="86">
        <f t="shared" si="19"/>
        <v>0</v>
      </c>
      <c r="J35" s="22" t="b">
        <f>AND($D$1=3,$D$7=2,'Simulazione 5.5'!$C$3&lt;=200,'Simulazione 5.5'!$C$3&gt;20)</f>
        <v>0</v>
      </c>
      <c r="K35" s="28" t="s">
        <v>8</v>
      </c>
      <c r="L35" s="51">
        <v>136</v>
      </c>
      <c r="M35" s="52">
        <f t="shared" si="20"/>
        <v>54</v>
      </c>
      <c r="N35" s="5">
        <f t="shared" si="21"/>
        <v>0</v>
      </c>
      <c r="O35" s="5">
        <f t="shared" si="22"/>
        <v>0</v>
      </c>
      <c r="Q35" s="59" t="s">
        <v>70</v>
      </c>
      <c r="S35" s="50">
        <f t="shared" si="16"/>
        <v>0</v>
      </c>
      <c r="T35" s="50">
        <v>6</v>
      </c>
      <c r="U35" s="50">
        <v>60</v>
      </c>
    </row>
    <row r="36" spans="4:21" ht="15.75">
      <c r="D36" s="22" t="b">
        <f>AND($D$1=3,$D$7=1,'Simulazione 5.5'!$C$3&lt;=1000,'Simulazione 5.5'!$C$3&gt;200)</f>
        <v>0</v>
      </c>
      <c r="E36" s="28" t="s">
        <v>9</v>
      </c>
      <c r="F36" s="47">
        <v>118</v>
      </c>
      <c r="G36" s="48">
        <f t="shared" si="17"/>
        <v>36</v>
      </c>
      <c r="H36" s="86">
        <f t="shared" si="18"/>
        <v>0</v>
      </c>
      <c r="I36" s="86">
        <f t="shared" si="19"/>
        <v>0</v>
      </c>
      <c r="J36" s="22" t="b">
        <f>AND($D$1=3,$D$7=2,'Simulazione 5.5'!$C$3&lt;=1000,'Simulazione 5.5'!$C$3&gt;200)</f>
        <v>0</v>
      </c>
      <c r="K36" s="28" t="s">
        <v>9</v>
      </c>
      <c r="L36" s="47">
        <v>113</v>
      </c>
      <c r="M36" s="48">
        <f t="shared" si="20"/>
        <v>31</v>
      </c>
      <c r="N36" s="5">
        <f t="shared" si="21"/>
        <v>0</v>
      </c>
      <c r="O36" s="5">
        <f t="shared" si="22"/>
        <v>0</v>
      </c>
      <c r="Q36" s="59" t="s">
        <v>71</v>
      </c>
      <c r="S36" s="50">
        <f t="shared" si="16"/>
        <v>0</v>
      </c>
      <c r="T36" s="50">
        <v>7</v>
      </c>
      <c r="U36" s="50">
        <v>70</v>
      </c>
    </row>
    <row r="37" spans="4:21" ht="15.75">
      <c r="D37" s="22" t="b">
        <f>AND($D$1=3,$D$7=1,'Simulazione 5.5'!$C$3&lt;=5000,'Simulazione 5.5'!$C$3&gt;1000)</f>
        <v>0</v>
      </c>
      <c r="E37" s="28" t="s">
        <v>10</v>
      </c>
      <c r="F37" s="51">
        <v>110</v>
      </c>
      <c r="G37" s="52">
        <f t="shared" si="17"/>
        <v>28</v>
      </c>
      <c r="H37" s="86">
        <f t="shared" si="18"/>
        <v>0</v>
      </c>
      <c r="I37" s="86">
        <f t="shared" si="19"/>
        <v>0</v>
      </c>
      <c r="J37" s="22" t="b">
        <f>AND($D$1=3,$D$7=2,'Simulazione 5.5'!$C$3&lt;=5000,'Simulazione 5.5'!$C$3&gt;1000)</f>
        <v>0</v>
      </c>
      <c r="K37" s="28" t="s">
        <v>10</v>
      </c>
      <c r="L37" s="51">
        <v>106</v>
      </c>
      <c r="M37" s="52">
        <f t="shared" si="20"/>
        <v>24</v>
      </c>
      <c r="N37" s="5">
        <f t="shared" si="21"/>
        <v>0</v>
      </c>
      <c r="O37" s="5">
        <f t="shared" si="22"/>
        <v>0</v>
      </c>
      <c r="Q37" s="59" t="s">
        <v>72</v>
      </c>
      <c r="S37" s="50">
        <f t="shared" si="16"/>
        <v>0</v>
      </c>
      <c r="T37" s="50">
        <v>8</v>
      </c>
      <c r="U37" s="50">
        <v>80</v>
      </c>
    </row>
    <row r="38" spans="4:21" ht="16.5" thickBot="1">
      <c r="D38" s="29" t="b">
        <f>AND($D$1=3,$D$7=1,'Simulazione 5.5'!$C$3&gt;=5000)</f>
        <v>0</v>
      </c>
      <c r="E38" s="35" t="s">
        <v>11</v>
      </c>
      <c r="F38" s="57">
        <v>104</v>
      </c>
      <c r="G38" s="58">
        <f t="shared" si="17"/>
        <v>22</v>
      </c>
      <c r="H38" s="86">
        <f t="shared" si="18"/>
        <v>0</v>
      </c>
      <c r="I38" s="86">
        <f t="shared" si="19"/>
        <v>0</v>
      </c>
      <c r="J38" s="29" t="b">
        <f>AND($D$1=3,$D$7=2,'Simulazione 5.5'!$C$3&gt;=5000)</f>
        <v>0</v>
      </c>
      <c r="K38" s="35" t="s">
        <v>11</v>
      </c>
      <c r="L38" s="57">
        <v>99</v>
      </c>
      <c r="M38" s="58">
        <f t="shared" si="20"/>
        <v>17</v>
      </c>
      <c r="N38" s="5">
        <f t="shared" si="21"/>
        <v>0</v>
      </c>
      <c r="O38" s="5">
        <f t="shared" si="22"/>
        <v>0</v>
      </c>
      <c r="Q38" s="59" t="s">
        <v>73</v>
      </c>
      <c r="S38" s="50">
        <f t="shared" si="16"/>
        <v>0</v>
      </c>
      <c r="T38" s="50">
        <v>9</v>
      </c>
      <c r="U38" s="50">
        <v>90</v>
      </c>
    </row>
    <row r="39" spans="4:21" ht="16.5" thickBot="1">
      <c r="D39" s="50"/>
      <c r="E39" s="50"/>
      <c r="F39" s="53"/>
      <c r="G39" s="53"/>
      <c r="H39" s="42">
        <f>IF($H$9=1,H33+H34+H35+H36+H37+H38,0)</f>
        <v>0</v>
      </c>
      <c r="I39" s="42">
        <f>IF($H$9=1,I33+I34+I35+I36+I37+I38,0)</f>
        <v>0</v>
      </c>
      <c r="J39" s="50"/>
      <c r="K39" s="53"/>
      <c r="L39" s="53"/>
      <c r="M39" s="53"/>
      <c r="N39" s="42">
        <f>IF($H$9=1,N33+N34+N35+N36+N37+N38,0)</f>
        <v>0</v>
      </c>
      <c r="O39" s="42">
        <f>IF($H$9=1,O33+O34+O35+O36+O37+O38,0)</f>
        <v>0</v>
      </c>
      <c r="Q39" s="59" t="s">
        <v>74</v>
      </c>
      <c r="S39" s="50">
        <f t="shared" si="16"/>
        <v>0</v>
      </c>
      <c r="T39" s="50">
        <v>10</v>
      </c>
      <c r="U39" s="50">
        <v>100</v>
      </c>
    </row>
    <row r="40" spans="4:21" ht="15.75">
      <c r="D40" s="2"/>
      <c r="E40" s="2"/>
      <c r="F40" s="5"/>
      <c r="G40" s="5"/>
      <c r="H40" s="5"/>
      <c r="I40" s="5"/>
      <c r="J40" s="2"/>
      <c r="K40" s="5"/>
      <c r="L40" s="5"/>
      <c r="M40" s="5"/>
      <c r="N40" s="5"/>
      <c r="O40" s="5"/>
      <c r="Q40" s="59"/>
      <c r="S40" s="50"/>
    </row>
    <row r="41" spans="4:21" ht="15.75">
      <c r="Q41" s="59"/>
      <c r="R41" s="6">
        <v>5</v>
      </c>
      <c r="S41" s="91">
        <f>SUM(S30:S39)</f>
        <v>50</v>
      </c>
    </row>
    <row r="42" spans="4:21" ht="15.75">
      <c r="Q42" s="59"/>
      <c r="S42" s="50"/>
    </row>
    <row r="43" spans="4:21" ht="16.5" thickBot="1">
      <c r="Q43" s="59"/>
      <c r="S43" s="50"/>
    </row>
    <row r="44" spans="4:21" ht="15.75">
      <c r="D44" s="87"/>
      <c r="E44" s="88"/>
      <c r="F44" s="89" t="s">
        <v>2</v>
      </c>
      <c r="G44" s="90" t="s">
        <v>3</v>
      </c>
      <c r="H44" s="49"/>
      <c r="I44" s="49"/>
      <c r="J44" s="87"/>
      <c r="K44" s="88"/>
      <c r="L44" s="89" t="s">
        <v>2</v>
      </c>
      <c r="M44" s="90" t="s">
        <v>3</v>
      </c>
      <c r="N44" s="47"/>
      <c r="O44" s="47"/>
      <c r="P44" s="86"/>
      <c r="Q44" s="59"/>
      <c r="S44" s="50"/>
    </row>
    <row r="45" spans="4:21" ht="15.75">
      <c r="D45" s="22" t="b">
        <f>AND($D$1=4,$D$7=1,'Simulazione 5.5'!$C$3&lt;=3,'Simulazione 5.5'!$C$3&gt;=1)</f>
        <v>0</v>
      </c>
      <c r="E45" s="28" t="s">
        <v>6</v>
      </c>
      <c r="F45" s="51">
        <v>144</v>
      </c>
      <c r="G45" s="52">
        <f t="shared" ref="G45:G50" si="23">F45-82</f>
        <v>62</v>
      </c>
      <c r="H45" s="86">
        <f t="shared" ref="H45:H50" si="24">IF(D45=TRUE,F45,0)</f>
        <v>0</v>
      </c>
      <c r="I45" s="86">
        <f t="shared" ref="I45:I50" si="25">IF(D45=TRUE,G45,0)</f>
        <v>0</v>
      </c>
      <c r="J45" s="22" t="b">
        <f>AND($D$1=4,$D$7=2,'Simulazione 5.5'!$C$3&lt;=3,'Simulazione 5.5'!$C$3&gt;=1)</f>
        <v>0</v>
      </c>
      <c r="K45" s="28" t="s">
        <v>6</v>
      </c>
      <c r="L45" s="51">
        <v>140</v>
      </c>
      <c r="M45" s="52">
        <f t="shared" ref="M45:M50" si="26">L45-82</f>
        <v>58</v>
      </c>
      <c r="N45" s="5">
        <f>IF(J45=TRUE,L45,0)</f>
        <v>0</v>
      </c>
      <c r="O45" s="5">
        <f>IF(J45=TRUE,M45,0)</f>
        <v>0</v>
      </c>
      <c r="P45" s="86"/>
      <c r="Q45" s="59"/>
      <c r="S45" s="50"/>
    </row>
    <row r="46" spans="4:21" ht="15.75">
      <c r="D46" s="22" t="b">
        <f>AND($D$1=4,$D$7=1,'Simulazione 5.5'!$C$3&lt;=20,'Simulazione 5.5'!$C$3&gt;3)</f>
        <v>0</v>
      </c>
      <c r="E46" s="28" t="s">
        <v>7</v>
      </c>
      <c r="F46" s="51">
        <v>137</v>
      </c>
      <c r="G46" s="52">
        <f t="shared" si="23"/>
        <v>55</v>
      </c>
      <c r="H46" s="86">
        <f t="shared" si="24"/>
        <v>0</v>
      </c>
      <c r="I46" s="86">
        <f t="shared" si="25"/>
        <v>0</v>
      </c>
      <c r="J46" s="22" t="b">
        <f>AND($D$1=4,$D$7=2,'Simulazione 5.5'!$C$3&lt;=20,'Simulazione 5.5'!$C$3&gt;3)</f>
        <v>0</v>
      </c>
      <c r="K46" s="28" t="s">
        <v>7</v>
      </c>
      <c r="L46" s="51">
        <v>133</v>
      </c>
      <c r="M46" s="52">
        <f t="shared" si="26"/>
        <v>51</v>
      </c>
      <c r="N46" s="5">
        <f t="shared" ref="N46:N50" si="27">IF(J46=TRUE,L46,0)</f>
        <v>0</v>
      </c>
      <c r="O46" s="5">
        <f t="shared" ref="O46:O50" si="28">IF(J46=TRUE,M46,0)</f>
        <v>0</v>
      </c>
      <c r="Q46" s="59" t="s">
        <v>28</v>
      </c>
      <c r="S46" s="50"/>
    </row>
    <row r="47" spans="4:21" ht="15.75">
      <c r="D47" s="22" t="b">
        <f>AND($D$1=4,$D$7=1,'Simulazione 5.5'!$C$3&lt;=200,'Simulazione 5.5'!$C$3&gt;20)</f>
        <v>0</v>
      </c>
      <c r="E47" s="28" t="s">
        <v>8</v>
      </c>
      <c r="F47" s="51">
        <v>131</v>
      </c>
      <c r="G47" s="52">
        <f t="shared" si="23"/>
        <v>49</v>
      </c>
      <c r="H47" s="86">
        <f t="shared" si="24"/>
        <v>0</v>
      </c>
      <c r="I47" s="86">
        <f t="shared" si="25"/>
        <v>0</v>
      </c>
      <c r="J47" s="22" t="b">
        <f>AND($D$1=4,$D$7=2,'Simulazione 5.5'!$C$3&lt;=200,'Simulazione 5.5'!$C$3&gt;20)</f>
        <v>0</v>
      </c>
      <c r="K47" s="28" t="s">
        <v>8</v>
      </c>
      <c r="L47" s="51">
        <v>126</v>
      </c>
      <c r="M47" s="52">
        <f t="shared" si="26"/>
        <v>44</v>
      </c>
      <c r="N47" s="5">
        <f t="shared" si="27"/>
        <v>0</v>
      </c>
      <c r="O47" s="5">
        <f t="shared" si="28"/>
        <v>0</v>
      </c>
      <c r="Q47" s="59" t="s">
        <v>77</v>
      </c>
      <c r="S47" s="50"/>
    </row>
    <row r="48" spans="4:21" ht="15.75">
      <c r="D48" s="22" t="b">
        <f>AND($D$1=4,$D$7=1,'Simulazione 5.5'!$C$3&lt;=1000,'Simulazione 5.5'!$C$3&gt;200)</f>
        <v>0</v>
      </c>
      <c r="E48" s="28" t="s">
        <v>9</v>
      </c>
      <c r="F48" s="47">
        <v>111</v>
      </c>
      <c r="G48" s="48">
        <f t="shared" si="23"/>
        <v>29</v>
      </c>
      <c r="H48" s="86">
        <f t="shared" si="24"/>
        <v>0</v>
      </c>
      <c r="I48" s="86">
        <f t="shared" si="25"/>
        <v>0</v>
      </c>
      <c r="J48" s="22" t="b">
        <f>AND($D$1=4,$D$7=2,'Simulazione 5.5'!$C$3&lt;=1000,'Simulazione 5.5'!$C$3&gt;200)</f>
        <v>0</v>
      </c>
      <c r="K48" s="28" t="s">
        <v>9</v>
      </c>
      <c r="L48" s="47">
        <v>107</v>
      </c>
      <c r="M48" s="48">
        <f t="shared" si="26"/>
        <v>25</v>
      </c>
      <c r="N48" s="5">
        <f t="shared" si="27"/>
        <v>0</v>
      </c>
      <c r="O48" s="5">
        <f t="shared" si="28"/>
        <v>0</v>
      </c>
      <c r="Q48" s="59"/>
      <c r="S48" s="50"/>
    </row>
    <row r="49" spans="4:19" ht="15.75">
      <c r="D49" s="22" t="b">
        <f>AND($D$1=4,$D$7=1,'Simulazione 5.5'!$C$3&lt;=5000,'Simulazione 5.5'!$C$3&gt;1000)</f>
        <v>0</v>
      </c>
      <c r="E49" s="28" t="s">
        <v>10</v>
      </c>
      <c r="F49" s="51">
        <v>105</v>
      </c>
      <c r="G49" s="52">
        <f t="shared" si="23"/>
        <v>23</v>
      </c>
      <c r="H49" s="86">
        <f t="shared" si="24"/>
        <v>0</v>
      </c>
      <c r="I49" s="86">
        <f t="shared" si="25"/>
        <v>0</v>
      </c>
      <c r="J49" s="22" t="b">
        <f>AND($D$1=4,$D$7=2,'Simulazione 5.5'!$C$3&lt;=5000,'Simulazione 5.5'!$C$3&gt;1000)</f>
        <v>0</v>
      </c>
      <c r="K49" s="28" t="s">
        <v>10</v>
      </c>
      <c r="L49" s="51">
        <v>101</v>
      </c>
      <c r="M49" s="52">
        <f t="shared" si="26"/>
        <v>19</v>
      </c>
      <c r="N49" s="5">
        <f t="shared" si="27"/>
        <v>0</v>
      </c>
      <c r="O49" s="5">
        <f t="shared" si="28"/>
        <v>0</v>
      </c>
      <c r="Q49" s="59">
        <v>1</v>
      </c>
      <c r="S49" s="50"/>
    </row>
    <row r="50" spans="4:19" ht="16.5" thickBot="1">
      <c r="D50" s="29" t="b">
        <f>AND($D$1=4,$D$7=1,'Simulazione 5.5'!$C$3&gt;=5000)</f>
        <v>0</v>
      </c>
      <c r="E50" s="35" t="s">
        <v>11</v>
      </c>
      <c r="F50" s="57">
        <v>99</v>
      </c>
      <c r="G50" s="58">
        <f t="shared" si="23"/>
        <v>17</v>
      </c>
      <c r="H50" s="86">
        <f t="shared" si="24"/>
        <v>0</v>
      </c>
      <c r="I50" s="86">
        <f t="shared" si="25"/>
        <v>0</v>
      </c>
      <c r="J50" s="29" t="b">
        <f>AND($D$1=4,$D$7=2,'Simulazione 5.5'!$C$3&gt;=5000)</f>
        <v>0</v>
      </c>
      <c r="K50" s="35" t="s">
        <v>11</v>
      </c>
      <c r="L50" s="57">
        <v>95</v>
      </c>
      <c r="M50" s="58">
        <f t="shared" si="26"/>
        <v>13</v>
      </c>
      <c r="N50" s="5">
        <f t="shared" si="27"/>
        <v>0</v>
      </c>
      <c r="O50" s="5">
        <f t="shared" si="28"/>
        <v>0</v>
      </c>
    </row>
    <row r="51" spans="4:19" ht="16.5" thickBot="1">
      <c r="D51" s="50"/>
      <c r="E51" s="50"/>
      <c r="F51" s="53"/>
      <c r="G51" s="53"/>
      <c r="H51" s="42">
        <f>IF($H$9=1,H45+H46+H47+H48+H49+H50,0)</f>
        <v>0</v>
      </c>
      <c r="I51" s="42">
        <f>IF($H$9=1,I45+I46+I47+I48+I49+I50,0)</f>
        <v>0</v>
      </c>
      <c r="J51" s="50"/>
      <c r="K51" s="53"/>
      <c r="L51" s="53"/>
      <c r="M51" s="53"/>
      <c r="N51" s="42">
        <f>IF($H$9=1,N45+N46+N47+N48+N49+N50,0)</f>
        <v>0</v>
      </c>
      <c r="O51" s="42">
        <f>IF($H$9=1,O45+O46+O47+O48+O49+O50,0)</f>
        <v>0</v>
      </c>
      <c r="P51" s="21"/>
      <c r="Q51" s="21" t="s">
        <v>28</v>
      </c>
      <c r="R51" s="21"/>
    </row>
    <row r="52" spans="4:19">
      <c r="D52" s="2"/>
      <c r="E52" s="28"/>
      <c r="F52" s="5"/>
      <c r="G52" s="5"/>
      <c r="H52" s="5"/>
      <c r="I52" s="5"/>
      <c r="J52" s="2"/>
      <c r="K52" s="28"/>
      <c r="L52" s="5"/>
      <c r="M52" s="5"/>
      <c r="N52" s="5"/>
      <c r="O52" s="5"/>
      <c r="Q52" s="97" t="b">
        <f>AND(Q49=1,'Simulazione 5.5'!C31&lt;'Simulazione 5.5'!C30)</f>
        <v>0</v>
      </c>
      <c r="S52" s="6">
        <f>IF(Q52=TRUE,'Simulazione 5.5'!$C$31/100*Calcoli!$S$41,0)</f>
        <v>0</v>
      </c>
    </row>
    <row r="53" spans="4:19">
      <c r="D53" s="2"/>
      <c r="E53" s="28"/>
      <c r="F53" s="5"/>
      <c r="G53" s="5"/>
      <c r="H53" s="5"/>
      <c r="I53" s="5"/>
      <c r="J53" s="2"/>
      <c r="K53" s="28"/>
      <c r="L53" s="5"/>
      <c r="M53" s="5"/>
      <c r="N53" s="5"/>
      <c r="O53" s="5"/>
      <c r="Q53" s="97" t="b">
        <f>AND(Q49=1,'Simulazione 5.5'!C31&gt;='Simulazione 5.5'!C30)</f>
        <v>1</v>
      </c>
      <c r="S53" s="6">
        <f>IF(Q53=TRUE,'Simulazione 5.5'!$C$30/100*Calcoli!$S$41,0)</f>
        <v>1800</v>
      </c>
    </row>
    <row r="54" spans="4:19">
      <c r="D54" s="2"/>
      <c r="E54" s="2"/>
      <c r="F54" s="5"/>
      <c r="G54" s="5"/>
      <c r="H54" s="5"/>
      <c r="I54" s="5"/>
      <c r="J54" s="2"/>
      <c r="K54" s="5"/>
      <c r="L54" s="5"/>
      <c r="M54" s="5"/>
      <c r="N54" s="5"/>
      <c r="O54" s="5"/>
    </row>
    <row r="55" spans="4:19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S55" s="6">
        <f>SUM(S52:S54)</f>
        <v>1800</v>
      </c>
    </row>
    <row r="57" spans="4:19" ht="15.75" thickBot="1">
      <c r="Q57" s="86" t="b">
        <f>AND($Q$49=1,$D$1=6)</f>
        <v>0</v>
      </c>
    </row>
    <row r="58" spans="4:19" ht="15.75">
      <c r="D58" s="87"/>
      <c r="E58" s="88"/>
      <c r="F58" s="89" t="s">
        <v>2</v>
      </c>
      <c r="G58" s="90" t="s">
        <v>3</v>
      </c>
      <c r="H58" s="49"/>
      <c r="I58" s="49"/>
      <c r="J58" s="87"/>
      <c r="K58" s="88"/>
      <c r="L58" s="89" t="s">
        <v>2</v>
      </c>
      <c r="M58" s="90" t="s">
        <v>3</v>
      </c>
      <c r="N58" s="47"/>
      <c r="O58" s="47"/>
      <c r="P58" s="86"/>
    </row>
    <row r="59" spans="4:19" ht="15.75">
      <c r="D59" s="22" t="b">
        <f>AND($D$1=5,$D$7=1,'Simulazione 5.5'!$C$3&lt;=3,'Simulazione 5.5'!$C$3&gt;=1)</f>
        <v>0</v>
      </c>
      <c r="E59" s="28" t="s">
        <v>6</v>
      </c>
      <c r="F59" s="51">
        <v>133</v>
      </c>
      <c r="G59" s="52">
        <f t="shared" ref="G59:G64" si="29">F59-82</f>
        <v>51</v>
      </c>
      <c r="H59" s="53">
        <f t="shared" ref="H59:H64" si="30">IF(D59=TRUE,F59,0)</f>
        <v>0</v>
      </c>
      <c r="I59" s="86">
        <f t="shared" ref="I59:I64" si="31">IF(D59=TRUE,G59,0)</f>
        <v>0</v>
      </c>
      <c r="J59" s="22" t="b">
        <f>AND($D$1=5,$D$7=2,'Simulazione 5.5'!$C$3&lt;=3,'Simulazione 5.5'!$C$3&gt;=1)</f>
        <v>0</v>
      </c>
      <c r="K59" s="28" t="s">
        <v>6</v>
      </c>
      <c r="L59" s="51">
        <v>130</v>
      </c>
      <c r="M59" s="52">
        <f t="shared" ref="M59:M64" si="32">L59-82</f>
        <v>48</v>
      </c>
      <c r="N59" s="5">
        <f>IF(J59=TRUE,L59,0)</f>
        <v>0</v>
      </c>
      <c r="O59" s="5">
        <f>IF(J59=TRUE,M59,0)</f>
        <v>0</v>
      </c>
      <c r="P59" s="86"/>
    </row>
    <row r="60" spans="4:19" ht="15.75">
      <c r="D60" s="22" t="b">
        <f>AND($D$1=5,$D$7=1,'Simulazione 5.5'!$C$3&lt;=20,'Simulazione 5.5'!$C$3&gt;3)</f>
        <v>0</v>
      </c>
      <c r="E60" s="28" t="s">
        <v>7</v>
      </c>
      <c r="F60" s="51">
        <v>128</v>
      </c>
      <c r="G60" s="52">
        <f t="shared" si="29"/>
        <v>46</v>
      </c>
      <c r="H60" s="53">
        <f t="shared" si="30"/>
        <v>0</v>
      </c>
      <c r="I60" s="86">
        <f t="shared" si="31"/>
        <v>0</v>
      </c>
      <c r="J60" s="22" t="b">
        <f>AND($D$1=5,$D$7=2,'Simulazione 5.5'!$C$3&lt;=20,'Simulazione 5.5'!$C$3&gt;3)</f>
        <v>0</v>
      </c>
      <c r="K60" s="28" t="s">
        <v>7</v>
      </c>
      <c r="L60" s="51">
        <v>124</v>
      </c>
      <c r="M60" s="52">
        <f t="shared" si="32"/>
        <v>42</v>
      </c>
      <c r="N60" s="5">
        <f t="shared" ref="N60:N64" si="33">IF(J60=TRUE,L60,0)</f>
        <v>0</v>
      </c>
      <c r="O60" s="5">
        <f t="shared" ref="O60:O64" si="34">IF(J60=TRUE,M60,0)</f>
        <v>0</v>
      </c>
    </row>
    <row r="61" spans="4:19" ht="15.75">
      <c r="D61" s="22" t="b">
        <f>AND($D$1=5,$D$7=1,'Simulazione 5.5'!$C$3&lt;=200,'Simulazione 5.5'!$C$3&gt;20)</f>
        <v>0</v>
      </c>
      <c r="E61" s="28" t="s">
        <v>8</v>
      </c>
      <c r="F61" s="51">
        <v>122</v>
      </c>
      <c r="G61" s="52">
        <f t="shared" si="29"/>
        <v>40</v>
      </c>
      <c r="H61" s="53">
        <f t="shared" si="30"/>
        <v>0</v>
      </c>
      <c r="I61" s="86">
        <f t="shared" si="31"/>
        <v>0</v>
      </c>
      <c r="J61" s="22" t="b">
        <f>AND($D$1=5,$D$7=2,'Simulazione 5.5'!$C$3&lt;=200,'Simulazione 5.5'!$C$3&gt;20)</f>
        <v>0</v>
      </c>
      <c r="K61" s="28" t="s">
        <v>8</v>
      </c>
      <c r="L61" s="51">
        <v>118</v>
      </c>
      <c r="M61" s="52">
        <f t="shared" si="32"/>
        <v>36</v>
      </c>
      <c r="N61" s="5">
        <f t="shared" si="33"/>
        <v>0</v>
      </c>
      <c r="O61" s="5">
        <f t="shared" si="34"/>
        <v>0</v>
      </c>
    </row>
    <row r="62" spans="4:19" ht="15.75">
      <c r="D62" s="22" t="b">
        <f>AND($D$1=5,$D$7=1,'Simulazione 5.5'!$C$3&lt;=1000,'Simulazione 5.5'!$C$3&gt;200)</f>
        <v>0</v>
      </c>
      <c r="E62" s="28" t="s">
        <v>9</v>
      </c>
      <c r="F62" s="47">
        <v>106</v>
      </c>
      <c r="G62" s="48">
        <f t="shared" si="29"/>
        <v>24</v>
      </c>
      <c r="H62" s="49">
        <f t="shared" si="30"/>
        <v>0</v>
      </c>
      <c r="I62" s="86">
        <f t="shared" si="31"/>
        <v>0</v>
      </c>
      <c r="J62" s="22" t="b">
        <f>AND($D$1=5,$D$7=2,'Simulazione 5.5'!$C$3&lt;=1000,'Simulazione 5.5'!$C$3&gt;200)</f>
        <v>0</v>
      </c>
      <c r="K62" s="28" t="s">
        <v>9</v>
      </c>
      <c r="L62" s="47">
        <v>102</v>
      </c>
      <c r="M62" s="48">
        <f t="shared" si="32"/>
        <v>20</v>
      </c>
      <c r="N62" s="5">
        <f t="shared" si="33"/>
        <v>0</v>
      </c>
      <c r="O62" s="5">
        <f t="shared" si="34"/>
        <v>0</v>
      </c>
    </row>
    <row r="63" spans="4:19" ht="15.75">
      <c r="D63" s="22" t="b">
        <f>AND($D$1=5,$D$7=1,'Simulazione 5.5'!$C$3&lt;=5000,'Simulazione 5.5'!$C$3&gt;1000)</f>
        <v>0</v>
      </c>
      <c r="E63" s="28" t="s">
        <v>10</v>
      </c>
      <c r="F63" s="51">
        <v>100</v>
      </c>
      <c r="G63" s="52">
        <f t="shared" si="29"/>
        <v>18</v>
      </c>
      <c r="H63" s="53">
        <f t="shared" si="30"/>
        <v>0</v>
      </c>
      <c r="I63" s="86">
        <f t="shared" si="31"/>
        <v>0</v>
      </c>
      <c r="J63" s="22" t="b">
        <f>AND($D$1=5,$D$7=2,'Simulazione 5.5'!$C$3&lt;=5000,'Simulazione 5.5'!$C$3&gt;1000)</f>
        <v>0</v>
      </c>
      <c r="K63" s="28" t="s">
        <v>10</v>
      </c>
      <c r="L63" s="51">
        <v>97</v>
      </c>
      <c r="M63" s="52">
        <f t="shared" si="32"/>
        <v>15</v>
      </c>
      <c r="N63" s="5">
        <f t="shared" si="33"/>
        <v>0</v>
      </c>
      <c r="O63" s="5">
        <f t="shared" si="34"/>
        <v>0</v>
      </c>
    </row>
    <row r="64" spans="4:19" ht="16.5" thickBot="1">
      <c r="D64" s="29" t="b">
        <f>AND($D$1=5,$D$7=1,'Simulazione 5.5'!$C$3&gt;=5000)</f>
        <v>0</v>
      </c>
      <c r="E64" s="35" t="s">
        <v>11</v>
      </c>
      <c r="F64" s="57">
        <v>95</v>
      </c>
      <c r="G64" s="58">
        <f t="shared" si="29"/>
        <v>13</v>
      </c>
      <c r="H64" s="53">
        <f t="shared" si="30"/>
        <v>0</v>
      </c>
      <c r="I64" s="86">
        <f t="shared" si="31"/>
        <v>0</v>
      </c>
      <c r="J64" s="29" t="b">
        <f>AND($D$1=5,$D$7=2,'Simulazione 5.5'!$C$3&gt;=5000)</f>
        <v>0</v>
      </c>
      <c r="K64" s="35" t="s">
        <v>11</v>
      </c>
      <c r="L64" s="57">
        <v>92</v>
      </c>
      <c r="M64" s="58">
        <f t="shared" si="32"/>
        <v>10</v>
      </c>
      <c r="N64" s="5">
        <f t="shared" si="33"/>
        <v>0</v>
      </c>
      <c r="O64" s="5">
        <f t="shared" si="34"/>
        <v>0</v>
      </c>
    </row>
    <row r="65" spans="3:28" ht="16.5" thickBot="1">
      <c r="D65" s="50"/>
      <c r="E65" s="50"/>
      <c r="F65" s="53"/>
      <c r="G65" s="53"/>
      <c r="H65" s="42">
        <f>IF($H$9=1,H59+H60+H61+H62+H63+H64,0)</f>
        <v>0</v>
      </c>
      <c r="I65" s="42">
        <f>IF($H$9=1,I59+I60+I61+I62+I63+I64,0)</f>
        <v>0</v>
      </c>
      <c r="J65" s="53"/>
      <c r="K65" s="53"/>
      <c r="L65" s="53"/>
      <c r="M65" s="53"/>
      <c r="N65" s="42">
        <f>IF($H$9=1,N59+N60+N61+N62+N63+N64,0)</f>
        <v>0</v>
      </c>
      <c r="O65" s="42">
        <f>IF($H$9=1,O59+O60+O61+O62+O63+O64,0)</f>
        <v>0</v>
      </c>
    </row>
    <row r="66" spans="3:28"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2"/>
      <c r="Q66" s="5"/>
      <c r="R66" s="2"/>
    </row>
    <row r="67" spans="3:28">
      <c r="D67" s="106">
        <f>IF($D$76&gt;1,'Simulazione 5.5'!E58+'Simulazione 5.5'!E59+'Simulazione 5.5'!E60+'Simulazione 5.5'!E62+'Simulazione 5.5'!E63-'Simulazione 5.5'!E66-'Simulazione 5.5'!E71-'Simulazione 5.5'!E72-'Simulazione 5.5'!E73,0)</f>
        <v>0</v>
      </c>
      <c r="E67" s="106">
        <f>IF($D$76&gt;1,'Simulazione 5.5'!F58+'Simulazione 5.5'!F59+'Simulazione 5.5'!F60+'Simulazione 5.5'!F62+'Simulazione 5.5'!F63-'Simulazione 5.5'!F66-'Simulazione 5.5'!F71-'Simulazione 5.5'!F72-'Simulazione 5.5'!F73,0)</f>
        <v>0</v>
      </c>
      <c r="F67" s="106">
        <f>IF($D$76&gt;1,'Simulazione 5.5'!G58+'Simulazione 5.5'!G59+'Simulazione 5.5'!G60+'Simulazione 5.5'!G62+'Simulazione 5.5'!G63-'Simulazione 5.5'!G66-'Simulazione 5.5'!G71-'Simulazione 5.5'!G72-'Simulazione 5.5'!G73,0)</f>
        <v>0</v>
      </c>
      <c r="G67" s="106">
        <f>IF($D$76&gt;1,'Simulazione 5.5'!H58+'Simulazione 5.5'!H59+'Simulazione 5.5'!H60+'Simulazione 5.5'!H62+'Simulazione 5.5'!H63-'Simulazione 5.5'!H66-'Simulazione 5.5'!H71-'Simulazione 5.5'!H72-'Simulazione 5.5'!H73,0)</f>
        <v>0</v>
      </c>
      <c r="H67" s="106">
        <f>IF($D$76&gt;1,'Simulazione 5.5'!I58+'Simulazione 5.5'!I59+'Simulazione 5.5'!I60+'Simulazione 5.5'!I62+'Simulazione 5.5'!I63-'Simulazione 5.5'!I66-'Simulazione 5.5'!I71-'Simulazione 5.5'!I72-'Simulazione 5.5'!I73,0)</f>
        <v>0</v>
      </c>
      <c r="I67" s="106">
        <f>IF($D$76&gt;1,'Simulazione 5.5'!J58+'Simulazione 5.5'!J59+'Simulazione 5.5'!J60+'Simulazione 5.5'!J62+'Simulazione 5.5'!J63-'Simulazione 5.5'!J66-'Simulazione 5.5'!J71-'Simulazione 5.5'!J72-'Simulazione 5.5'!J73,0)</f>
        <v>0</v>
      </c>
      <c r="J67" s="106">
        <f>IF($D$76&gt;1,'Simulazione 5.5'!K58+'Simulazione 5.5'!K59+'Simulazione 5.5'!K60+'Simulazione 5.5'!K62+'Simulazione 5.5'!K63-'Simulazione 5.5'!K66-'Simulazione 5.5'!K71-'Simulazione 5.5'!K72-'Simulazione 5.5'!K73,0)</f>
        <v>0</v>
      </c>
      <c r="K67" s="106">
        <f>IF($D$76&gt;1,'Simulazione 5.5'!L58+'Simulazione 5.5'!L59+'Simulazione 5.5'!L60+'Simulazione 5.5'!L62+'Simulazione 5.5'!L63-'Simulazione 5.5'!L66-'Simulazione 5.5'!L71-'Simulazione 5.5'!L72-'Simulazione 5.5'!L73,0)</f>
        <v>0</v>
      </c>
      <c r="L67" s="106">
        <f>IF($D$76&gt;1,'Simulazione 5.5'!M58+'Simulazione 5.5'!M59+'Simulazione 5.5'!M60+'Simulazione 5.5'!M62+'Simulazione 5.5'!M63-'Simulazione 5.5'!M66-'Simulazione 5.5'!M71-'Simulazione 5.5'!M72-'Simulazione 5.5'!M73,0)</f>
        <v>0</v>
      </c>
      <c r="M67" s="106">
        <f>IF($D$76&gt;1,'Simulazione 5.5'!N58+'Simulazione 5.5'!N59+'Simulazione 5.5'!N60+'Simulazione 5.5'!N62+'Simulazione 5.5'!N63-'Simulazione 5.5'!N66-'Simulazione 5.5'!N71-'Simulazione 5.5'!N72-'Simulazione 5.5'!N73,0)</f>
        <v>0</v>
      </c>
      <c r="N67" s="106">
        <f>IF($D$76&gt;1,'Simulazione 5.5'!O58+'Simulazione 5.5'!O59+'Simulazione 5.5'!O60+'Simulazione 5.5'!O62+'Simulazione 5.5'!O63-'Simulazione 5.5'!O66-'Simulazione 5.5'!O71-'Simulazione 5.5'!O72-'Simulazione 5.5'!O73,0)</f>
        <v>0</v>
      </c>
      <c r="O67" s="106">
        <f>IF($D$76&gt;1,'Simulazione 5.5'!P58+'Simulazione 5.5'!P59+'Simulazione 5.5'!P60+'Simulazione 5.5'!P62+'Simulazione 5.5'!P63-'Simulazione 5.5'!P66-'Simulazione 5.5'!P71-'Simulazione 5.5'!P72-'Simulazione 5.5'!P73,0)</f>
        <v>0</v>
      </c>
      <c r="P67" s="106">
        <f>IF($D$76&gt;1,'Simulazione 5.5'!Q58+'Simulazione 5.5'!Q59+'Simulazione 5.5'!Q60+'Simulazione 5.5'!Q62+'Simulazione 5.5'!Q63-'Simulazione 5.5'!Q66-'Simulazione 5.5'!Q71-'Simulazione 5.5'!Q72-'Simulazione 5.5'!Q73,0)</f>
        <v>0</v>
      </c>
      <c r="Q67" s="106">
        <f>IF($D$76&gt;1,'Simulazione 5.5'!R58+'Simulazione 5.5'!R59+'Simulazione 5.5'!R60+'Simulazione 5.5'!R62+'Simulazione 5.5'!R63-'Simulazione 5.5'!R66-'Simulazione 5.5'!R71-'Simulazione 5.5'!R72-'Simulazione 5.5'!R73,0)</f>
        <v>0</v>
      </c>
      <c r="R67" s="106">
        <f>IF($D$76&gt;1,'Simulazione 5.5'!S58+'Simulazione 5.5'!S59+'Simulazione 5.5'!S60+'Simulazione 5.5'!S62+'Simulazione 5.5'!S63-'Simulazione 5.5'!S66-'Simulazione 5.5'!S71-'Simulazione 5.5'!S72-'Simulazione 5.5'!S73,0)</f>
        <v>0</v>
      </c>
      <c r="S67" s="106">
        <f>IF($D$76&gt;1,'Simulazione 5.5'!T58+'Simulazione 5.5'!T59+'Simulazione 5.5'!T60+'Simulazione 5.5'!T62+'Simulazione 5.5'!T63-'Simulazione 5.5'!T66-'Simulazione 5.5'!T71-'Simulazione 5.5'!T72-'Simulazione 5.5'!T73,0)</f>
        <v>0</v>
      </c>
      <c r="T67" s="106">
        <f>IF($D$76&gt;1,'Simulazione 5.5'!U58+'Simulazione 5.5'!U59+'Simulazione 5.5'!U60+'Simulazione 5.5'!U62+'Simulazione 5.5'!U63-'Simulazione 5.5'!U66-'Simulazione 5.5'!U71-'Simulazione 5.5'!U72-'Simulazione 5.5'!U73,0)</f>
        <v>0</v>
      </c>
      <c r="U67" s="106">
        <f>IF($D$76&gt;1,'Simulazione 5.5'!V58+'Simulazione 5.5'!V59+'Simulazione 5.5'!V60+'Simulazione 5.5'!V62+'Simulazione 5.5'!V63-'Simulazione 5.5'!V66-'Simulazione 5.5'!V71-'Simulazione 5.5'!V72-'Simulazione 5.5'!V73,0)</f>
        <v>0</v>
      </c>
      <c r="V67" s="106">
        <f>IF($D$76&gt;1,'Simulazione 5.5'!W58+'Simulazione 5.5'!W59+'Simulazione 5.5'!W60+'Simulazione 5.5'!W62+'Simulazione 5.5'!W63-'Simulazione 5.5'!W66-'Simulazione 5.5'!W71-'Simulazione 5.5'!W72-'Simulazione 5.5'!W73,0)</f>
        <v>0</v>
      </c>
      <c r="W67" s="106">
        <f>IF($D$76&gt;1,'Simulazione 5.5'!X58+'Simulazione 5.5'!X59+'Simulazione 5.5'!X60+'Simulazione 5.5'!X62+'Simulazione 5.5'!X63-'Simulazione 5.5'!X66-'Simulazione 5.5'!X71-'Simulazione 5.5'!X72-'Simulazione 5.5'!X73,0)</f>
        <v>0</v>
      </c>
      <c r="X67" s="106">
        <f>IF($D$76&gt;1,'Simulazione 5.5'!Y58+'Simulazione 5.5'!Y59+'Simulazione 5.5'!Y60+'Simulazione 5.5'!Y62+'Simulazione 5.5'!Y63-'Simulazione 5.5'!Y66-'Simulazione 5.5'!Y71-'Simulazione 5.5'!Y72-'Simulazione 5.5'!Y73,0)</f>
        <v>0</v>
      </c>
      <c r="Y67" s="106">
        <f>IF($D$76&gt;1,'Simulazione 5.5'!Z58+'Simulazione 5.5'!Z59+'Simulazione 5.5'!Z60+'Simulazione 5.5'!Z62+'Simulazione 5.5'!Z63-'Simulazione 5.5'!Z66-'Simulazione 5.5'!Z71-'Simulazione 5.5'!Z72-'Simulazione 5.5'!Z73,0)</f>
        <v>0</v>
      </c>
      <c r="Z67" s="106">
        <f>IF($D$76&gt;1,'Simulazione 5.5'!AA58+'Simulazione 5.5'!AA59+'Simulazione 5.5'!AA60+'Simulazione 5.5'!AA62+'Simulazione 5.5'!AA63-'Simulazione 5.5'!AA66-'Simulazione 5.5'!AA71-'Simulazione 5.5'!AA72-'Simulazione 5.5'!AA73,0)</f>
        <v>0</v>
      </c>
      <c r="AA67" s="106">
        <f>IF($D$76&gt;1,'Simulazione 5.5'!AB58+'Simulazione 5.5'!AB59+'Simulazione 5.5'!AB60+'Simulazione 5.5'!AB62+'Simulazione 5.5'!AB63-'Simulazione 5.5'!AB66-'Simulazione 5.5'!AB71-'Simulazione 5.5'!AB72-'Simulazione 5.5'!AB73,0)</f>
        <v>0</v>
      </c>
      <c r="AB67" s="106">
        <f>IF($D$76&gt;1,'Simulazione 5.5'!AC58+'Simulazione 5.5'!AC59+'Simulazione 5.5'!AC60+'Simulazione 5.5'!AC62+'Simulazione 5.5'!AC63-'Simulazione 5.5'!AC66-'Simulazione 5.5'!AC71-'Simulazione 5.5'!AC72-'Simulazione 5.5'!AC73,0)</f>
        <v>0</v>
      </c>
    </row>
    <row r="68" spans="3:28">
      <c r="H68" s="68"/>
      <c r="I68" s="68"/>
      <c r="N68" s="68"/>
      <c r="O68" s="68"/>
    </row>
    <row r="70" spans="3:28">
      <c r="C70" s="6">
        <v>1</v>
      </c>
      <c r="D70" s="6" t="s">
        <v>94</v>
      </c>
    </row>
    <row r="71" spans="3:28">
      <c r="C71" s="6">
        <v>2</v>
      </c>
      <c r="D71" s="6" t="s">
        <v>118</v>
      </c>
      <c r="I71" s="68" t="s">
        <v>91</v>
      </c>
      <c r="L71" s="68" t="s">
        <v>134</v>
      </c>
      <c r="N71" s="6" t="s">
        <v>138</v>
      </c>
    </row>
    <row r="72" spans="3:28">
      <c r="C72" s="6">
        <v>3</v>
      </c>
      <c r="D72" s="6" t="s">
        <v>117</v>
      </c>
      <c r="I72" s="6" t="b">
        <f>OR(D76=2,D76=3,D76=4)</f>
        <v>0</v>
      </c>
      <c r="L72" s="6" t="b">
        <f>OR(D76=C70,D76=6)</f>
        <v>1</v>
      </c>
      <c r="M72" s="6">
        <v>1</v>
      </c>
      <c r="N72" s="6" t="b">
        <f>AND('Simulazione 5.5'!$C$3&lt;=50)</f>
        <v>1</v>
      </c>
      <c r="O72" s="6">
        <v>242</v>
      </c>
      <c r="P72" s="6">
        <f>IF(N72=TRUE,O72,0)</f>
        <v>242</v>
      </c>
    </row>
    <row r="73" spans="3:28">
      <c r="C73" s="6">
        <v>4</v>
      </c>
      <c r="D73" s="6" t="s">
        <v>116</v>
      </c>
      <c r="I73" s="68" t="s">
        <v>131</v>
      </c>
      <c r="M73" s="6">
        <v>2</v>
      </c>
      <c r="N73" s="6" t="b">
        <f>AND('Simulazione 5.5'!$C$3&lt;=100,'Simulazione 5.5'!$C$3&gt;50)</f>
        <v>0</v>
      </c>
      <c r="O73" s="6">
        <v>363</v>
      </c>
      <c r="P73" s="6">
        <f>IF(N73=TRUE,O73,0)</f>
        <v>0</v>
      </c>
      <c r="Q73" s="178"/>
    </row>
    <row r="74" spans="3:28">
      <c r="C74" s="6">
        <v>5</v>
      </c>
      <c r="D74" s="6" t="s">
        <v>172</v>
      </c>
      <c r="I74" s="6" t="b">
        <f>OR(D76=3,D76=4,D76=5)</f>
        <v>0</v>
      </c>
      <c r="M74" s="6">
        <v>3</v>
      </c>
      <c r="N74" s="6" t="b">
        <f>AND('Simulazione 5.5'!$C$3&lt;=500,'Simulazione 5.5'!$C$3&gt;100)</f>
        <v>0</v>
      </c>
      <c r="O74" s="6">
        <v>726</v>
      </c>
      <c r="P74" s="6">
        <f>IF(N74=TRUE,O74,0)</f>
        <v>0</v>
      </c>
      <c r="Q74" s="178"/>
    </row>
    <row r="75" spans="3:28">
      <c r="C75" s="6">
        <v>6</v>
      </c>
      <c r="D75" s="6" t="s">
        <v>130</v>
      </c>
      <c r="I75" s="68" t="s">
        <v>132</v>
      </c>
      <c r="M75" s="6">
        <v>4</v>
      </c>
      <c r="N75" s="6" t="b">
        <f>AND('Simulazione 5.5'!$C$3&lt;=1000,'Simulazione 5.5'!$C$3&gt;500)</f>
        <v>0</v>
      </c>
      <c r="O75" s="6">
        <v>1936</v>
      </c>
      <c r="P75" s="6">
        <f>IF(N75=TRUE,O75,0)</f>
        <v>0</v>
      </c>
      <c r="Q75" s="178"/>
    </row>
    <row r="76" spans="3:28">
      <c r="D76" s="97">
        <v>1</v>
      </c>
      <c r="I76" s="6" t="b">
        <f>OR(D76=2,D76=3)</f>
        <v>0</v>
      </c>
      <c r="M76" s="6">
        <v>5</v>
      </c>
      <c r="N76" s="6" t="b">
        <f>AND('Simulazione 5.5'!$C$3&gt;1000)</f>
        <v>0</v>
      </c>
      <c r="O76" s="6">
        <v>3146</v>
      </c>
      <c r="P76" s="6">
        <f>IF(N76=TRUE,O76,0)</f>
        <v>0</v>
      </c>
      <c r="Q76" s="178"/>
    </row>
    <row r="77" spans="3:28">
      <c r="I77" s="68" t="s">
        <v>133</v>
      </c>
      <c r="O77" s="6">
        <f>'Simulazione 5.5'!C3-'Simulazione 5.5'!C4</f>
        <v>0</v>
      </c>
      <c r="P77" s="68">
        <f>SUM(P72:P76)</f>
        <v>242</v>
      </c>
    </row>
    <row r="78" spans="3:28">
      <c r="D78" s="6" t="s">
        <v>88</v>
      </c>
      <c r="F78" s="6">
        <f>'Simulazione 5.5'!C3*'Simulazione 5.5'!C37</f>
        <v>4500</v>
      </c>
      <c r="I78" s="6" t="b">
        <f>OR(D76=4,D76=5)</f>
        <v>0</v>
      </c>
    </row>
    <row r="79" spans="3:28">
      <c r="D79" s="6" t="s">
        <v>87</v>
      </c>
      <c r="F79" s="6">
        <f>IF(D76&gt;1,('Simulazione 5.5'!C37*'Simulazione 5.5'!C3)/100*'Simulazione 5.5'!$K$9,0)</f>
        <v>0</v>
      </c>
    </row>
    <row r="81" spans="3:28">
      <c r="D81" s="106">
        <f>$F$78</f>
        <v>4500</v>
      </c>
      <c r="E81" s="106">
        <f>$F$78</f>
        <v>4500</v>
      </c>
      <c r="F81" s="106">
        <f>$F$78</f>
        <v>4500</v>
      </c>
      <c r="G81" s="106">
        <f t="shared" ref="G81:AB81" si="35">$F$78</f>
        <v>4500</v>
      </c>
      <c r="H81" s="106">
        <f t="shared" si="35"/>
        <v>4500</v>
      </c>
      <c r="I81" s="106">
        <f t="shared" si="35"/>
        <v>4500</v>
      </c>
      <c r="J81" s="106">
        <f t="shared" si="35"/>
        <v>4500</v>
      </c>
      <c r="K81" s="106">
        <f t="shared" si="35"/>
        <v>4500</v>
      </c>
      <c r="L81" s="106">
        <f t="shared" si="35"/>
        <v>4500</v>
      </c>
      <c r="M81" s="106">
        <f t="shared" si="35"/>
        <v>4500</v>
      </c>
      <c r="N81" s="106">
        <f t="shared" si="35"/>
        <v>4500</v>
      </c>
      <c r="O81" s="106">
        <f t="shared" si="35"/>
        <v>4500</v>
      </c>
      <c r="P81" s="106">
        <f t="shared" si="35"/>
        <v>4500</v>
      </c>
      <c r="Q81" s="106">
        <f t="shared" si="35"/>
        <v>4500</v>
      </c>
      <c r="R81" s="106">
        <f t="shared" si="35"/>
        <v>4500</v>
      </c>
      <c r="S81" s="106">
        <f t="shared" si="35"/>
        <v>4500</v>
      </c>
      <c r="T81" s="106">
        <f t="shared" si="35"/>
        <v>4500</v>
      </c>
      <c r="U81" s="106">
        <f t="shared" si="35"/>
        <v>4500</v>
      </c>
      <c r="V81" s="106">
        <f t="shared" si="35"/>
        <v>4500</v>
      </c>
      <c r="W81" s="106">
        <f t="shared" si="35"/>
        <v>4500</v>
      </c>
      <c r="X81" s="106">
        <f t="shared" si="35"/>
        <v>4500</v>
      </c>
      <c r="Y81" s="106">
        <f t="shared" si="35"/>
        <v>4500</v>
      </c>
      <c r="Z81" s="106">
        <f t="shared" si="35"/>
        <v>4500</v>
      </c>
      <c r="AA81" s="106">
        <f t="shared" si="35"/>
        <v>4500</v>
      </c>
      <c r="AB81" s="106">
        <f t="shared" si="35"/>
        <v>4500</v>
      </c>
    </row>
    <row r="82" spans="3:28">
      <c r="C82" s="106"/>
      <c r="D82" s="106">
        <f>$F$78/100*'Simulazione 5.5'!$K$9/2</f>
        <v>202.5</v>
      </c>
      <c r="E82" s="106">
        <f>D82+$F$79</f>
        <v>202.5</v>
      </c>
      <c r="F82" s="106">
        <f t="shared" ref="F82:W82" si="36">E82+$F$79</f>
        <v>202.5</v>
      </c>
      <c r="G82" s="106">
        <f t="shared" si="36"/>
        <v>202.5</v>
      </c>
      <c r="H82" s="106">
        <f t="shared" si="36"/>
        <v>202.5</v>
      </c>
      <c r="I82" s="106">
        <f t="shared" si="36"/>
        <v>202.5</v>
      </c>
      <c r="J82" s="106">
        <f t="shared" si="36"/>
        <v>202.5</v>
      </c>
      <c r="K82" s="106">
        <f t="shared" si="36"/>
        <v>202.5</v>
      </c>
      <c r="L82" s="106">
        <f t="shared" si="36"/>
        <v>202.5</v>
      </c>
      <c r="M82" s="106">
        <f t="shared" si="36"/>
        <v>202.5</v>
      </c>
      <c r="N82" s="106">
        <f t="shared" si="36"/>
        <v>202.5</v>
      </c>
      <c r="O82" s="106">
        <f t="shared" si="36"/>
        <v>202.5</v>
      </c>
      <c r="P82" s="106">
        <f t="shared" si="36"/>
        <v>202.5</v>
      </c>
      <c r="Q82" s="106">
        <f t="shared" si="36"/>
        <v>202.5</v>
      </c>
      <c r="R82" s="106">
        <f t="shared" si="36"/>
        <v>202.5</v>
      </c>
      <c r="S82" s="106">
        <f t="shared" si="36"/>
        <v>202.5</v>
      </c>
      <c r="T82" s="106">
        <f t="shared" si="36"/>
        <v>202.5</v>
      </c>
      <c r="U82" s="106">
        <f t="shared" si="36"/>
        <v>202.5</v>
      </c>
      <c r="V82" s="106">
        <f t="shared" si="36"/>
        <v>202.5</v>
      </c>
      <c r="W82" s="106">
        <f t="shared" si="36"/>
        <v>202.5</v>
      </c>
      <c r="X82" s="106">
        <f t="shared" ref="X82" si="37">W82+$F$79</f>
        <v>202.5</v>
      </c>
      <c r="Y82" s="106">
        <f t="shared" ref="Y82" si="38">X82+$F$79</f>
        <v>202.5</v>
      </c>
      <c r="Z82" s="106">
        <f t="shared" ref="Z82" si="39">Y82+$F$79</f>
        <v>202.5</v>
      </c>
      <c r="AA82" s="106">
        <f t="shared" ref="AA82" si="40">Z82+$F$79</f>
        <v>202.5</v>
      </c>
      <c r="AB82" s="106">
        <f t="shared" ref="AB82" si="41">AA82+$F$79</f>
        <v>202.5</v>
      </c>
    </row>
    <row r="83" spans="3:28"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</row>
    <row r="84" spans="3:28"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7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</row>
    <row r="85" spans="3:28">
      <c r="D85" s="106">
        <f>IF(D82&lt;D81,1,0)</f>
        <v>1</v>
      </c>
      <c r="E85" s="106">
        <f t="shared" ref="E85:W85" si="42">IF(E82&lt;E81,1,0)</f>
        <v>1</v>
      </c>
      <c r="F85" s="106">
        <f t="shared" si="42"/>
        <v>1</v>
      </c>
      <c r="G85" s="106">
        <f t="shared" si="42"/>
        <v>1</v>
      </c>
      <c r="H85" s="106">
        <f t="shared" si="42"/>
        <v>1</v>
      </c>
      <c r="I85" s="106">
        <f t="shared" si="42"/>
        <v>1</v>
      </c>
      <c r="J85" s="106">
        <f t="shared" si="42"/>
        <v>1</v>
      </c>
      <c r="K85" s="106">
        <f t="shared" si="42"/>
        <v>1</v>
      </c>
      <c r="L85" s="106">
        <f t="shared" si="42"/>
        <v>1</v>
      </c>
      <c r="M85" s="106">
        <f t="shared" si="42"/>
        <v>1</v>
      </c>
      <c r="N85" s="106">
        <f t="shared" si="42"/>
        <v>1</v>
      </c>
      <c r="O85" s="106">
        <f t="shared" si="42"/>
        <v>1</v>
      </c>
      <c r="P85" s="106">
        <f t="shared" si="42"/>
        <v>1</v>
      </c>
      <c r="Q85" s="106">
        <f t="shared" si="42"/>
        <v>1</v>
      </c>
      <c r="R85" s="106">
        <f t="shared" si="42"/>
        <v>1</v>
      </c>
      <c r="S85" s="106">
        <f t="shared" si="42"/>
        <v>1</v>
      </c>
      <c r="T85" s="106">
        <f t="shared" si="42"/>
        <v>1</v>
      </c>
      <c r="U85" s="106">
        <f t="shared" si="42"/>
        <v>1</v>
      </c>
      <c r="V85" s="106">
        <f t="shared" si="42"/>
        <v>1</v>
      </c>
      <c r="W85" s="106">
        <f t="shared" si="42"/>
        <v>1</v>
      </c>
      <c r="X85" s="106">
        <f t="shared" ref="X85:AB85" si="43">IF(X82&lt;X81,1,0)</f>
        <v>1</v>
      </c>
      <c r="Y85" s="106">
        <f t="shared" si="43"/>
        <v>1</v>
      </c>
      <c r="Z85" s="106">
        <f t="shared" si="43"/>
        <v>1</v>
      </c>
      <c r="AA85" s="106">
        <f t="shared" si="43"/>
        <v>1</v>
      </c>
      <c r="AB85" s="106">
        <f t="shared" si="43"/>
        <v>1</v>
      </c>
    </row>
    <row r="86" spans="3:28">
      <c r="D86" s="106">
        <f>IF(Calcoli!$D$76&gt;1,Calcoli!$F$79/2,0)</f>
        <v>0</v>
      </c>
      <c r="E86" s="106">
        <f>IF(Calcoli!$D$76&gt;1,Calcoli!$F$79,0)</f>
        <v>0</v>
      </c>
      <c r="F86" s="106">
        <f>IF(Calcoli!$D$76&gt;1,Calcoli!$F$79,0)</f>
        <v>0</v>
      </c>
      <c r="G86" s="106">
        <f>IF(Calcoli!$D$76&gt;1,Calcoli!$F$79,0)</f>
        <v>0</v>
      </c>
      <c r="H86" s="106">
        <f>IF(Calcoli!$D$76&gt;1,Calcoli!$F$79,0)</f>
        <v>0</v>
      </c>
      <c r="I86" s="106">
        <f>IF(Calcoli!$D$76&gt;1,Calcoli!$F$79,0)</f>
        <v>0</v>
      </c>
      <c r="J86" s="106">
        <f>IF(Calcoli!$D$76&gt;1,Calcoli!$F$79,0)</f>
        <v>0</v>
      </c>
      <c r="K86" s="106">
        <f>IF(Calcoli!$D$76&gt;1,Calcoli!$F$79,0)</f>
        <v>0</v>
      </c>
      <c r="L86" s="106">
        <f>IF(Calcoli!$D$76&gt;1,Calcoli!$F$79,0)</f>
        <v>0</v>
      </c>
      <c r="M86" s="106">
        <f>IF(Calcoli!$D$76&gt;1,Calcoli!$F$79,0)</f>
        <v>0</v>
      </c>
      <c r="N86" s="106">
        <f>IF(Calcoli!$D$76&gt;1,Calcoli!$F$79,0)</f>
        <v>0</v>
      </c>
      <c r="O86" s="106">
        <f>IF(Calcoli!$D$76&gt;1,Calcoli!$F$79,0)</f>
        <v>0</v>
      </c>
      <c r="P86" s="106">
        <f>IF(Calcoli!$D$76&gt;1,Calcoli!$F$79,0)</f>
        <v>0</v>
      </c>
      <c r="Q86" s="106">
        <f>IF(Calcoli!$D$76&gt;1,Calcoli!$F$79,0)</f>
        <v>0</v>
      </c>
      <c r="R86" s="106">
        <f>IF(Calcoli!$D$76&gt;1,Calcoli!$F$79,0)</f>
        <v>0</v>
      </c>
      <c r="S86" s="106">
        <f>IF(Calcoli!$D$76&gt;1,Calcoli!$F$79,0)</f>
        <v>0</v>
      </c>
      <c r="T86" s="106">
        <f>IF(Calcoli!$D$76&gt;1,Calcoli!$F$79,0)</f>
        <v>0</v>
      </c>
      <c r="U86" s="106">
        <f>IF(Calcoli!$D$76&gt;1,Calcoli!$F$79,0)</f>
        <v>0</v>
      </c>
      <c r="V86" s="106">
        <f>IF(Calcoli!$D$76&gt;1,Calcoli!$F$79,0)</f>
        <v>0</v>
      </c>
      <c r="W86" s="106">
        <f>IF(Calcoli!$D$76&gt;1,Calcoli!$F$79,0)</f>
        <v>0</v>
      </c>
      <c r="X86" s="106">
        <f>IF(Calcoli!$D$76&gt;1,Calcoli!$F$79,0)</f>
        <v>0</v>
      </c>
      <c r="Y86" s="106">
        <f>IF(Calcoli!$D$76&gt;1,Calcoli!$F$79,0)</f>
        <v>0</v>
      </c>
      <c r="Z86" s="106">
        <f>IF(Calcoli!$D$76&gt;1,Calcoli!$F$79,0)</f>
        <v>0</v>
      </c>
      <c r="AA86" s="106">
        <f>IF(Calcoli!$D$76&gt;1,Calcoli!$F$79,0)</f>
        <v>0</v>
      </c>
      <c r="AB86" s="106">
        <f>IF(Calcoli!$D$76&gt;1,Calcoli!$F$79,0)</f>
        <v>0</v>
      </c>
    </row>
    <row r="87" spans="3:28" ht="10.5" customHeight="1"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7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</row>
    <row r="88" spans="3:28">
      <c r="D88" s="106">
        <f>IF(D85=1,D86,0)</f>
        <v>0</v>
      </c>
      <c r="E88" s="106">
        <f>IF(E85=1,E86,$F$78-(D88))</f>
        <v>0</v>
      </c>
      <c r="F88" s="106">
        <f>IF(F85=1,F86,$F$78-(E88+D88))</f>
        <v>0</v>
      </c>
      <c r="G88" s="106">
        <f>IF(G85=1,G86,$F$78-(F88+E88+D88))</f>
        <v>0</v>
      </c>
      <c r="H88" s="106">
        <f>IF(H85=1,H86,$F$78-(G88+F88+E88+D88))</f>
        <v>0</v>
      </c>
      <c r="I88" s="106">
        <f>IF(I85=1,I86,$F$78-(H88+G88+F88+E88+D88))</f>
        <v>0</v>
      </c>
      <c r="J88" s="106">
        <f>IF(J85=1,J86,$F$78-(I88+H88+G88+F88+E88+D88))</f>
        <v>0</v>
      </c>
      <c r="K88" s="106">
        <f>IF(K85=1,K86,$F$78-(J88+I88+H88+G88+F88+E88+D88))</f>
        <v>0</v>
      </c>
      <c r="L88" s="106">
        <f>IF(L85=1,L86,$F$78-(K88+J88+I88+H88+G88+F88+E88+D88))</f>
        <v>0</v>
      </c>
      <c r="M88" s="106">
        <f>IF(M85=1,M86,$F$78-(L88+K88+J88+I88+H88+G88+F88+E88+D88))</f>
        <v>0</v>
      </c>
      <c r="N88" s="106">
        <f>IF(N85=1,N86,$F$78-(M88+L88+K88+J88+I88+H88+G88+F88+E88+D88))</f>
        <v>0</v>
      </c>
      <c r="O88" s="106">
        <f>IF(O85=1,O86,$F$78-(N88+M88+L88+K88+J88+I88+H88+G88+F88+E88+D88))</f>
        <v>0</v>
      </c>
      <c r="P88" s="106">
        <f>IF(P85=1,P86,$F$78-(O88+N88+M88+L88+K88+J88+I88+H88+G88+F88+E88+D88))</f>
        <v>0</v>
      </c>
      <c r="Q88" s="106">
        <f>IF(Q85=1,Q86,$F$78-(P88+O88+N88+M88+L88+K88+J88+I88+H88+G88+F88+E88+D88))</f>
        <v>0</v>
      </c>
      <c r="R88" s="106">
        <f>IF(R85=1,R86,$F$78-(Q88+P88+O88+N88+M88+L88+K88+J88+I88+H88+G88+F88+E88+D88))</f>
        <v>0</v>
      </c>
      <c r="S88" s="106">
        <f>IF(S85=1,S86,$F$78-(R88+Q88+P88+O88+N88+M88+L88+K88+J88+I88+H88+G88+F88+E88+D88))</f>
        <v>0</v>
      </c>
      <c r="T88" s="106">
        <f>IF(T85=1,T86,$F$78-(S88+R88+Q88+P88+O88+N88+M88+L88+K88+J88+I88+H88+G88+F88+E88+D88))</f>
        <v>0</v>
      </c>
      <c r="U88" s="106">
        <f>IF(U85=1,U86,$F$78-(T88+S88+R88+Q88+P88+O88+N88+M88+L88+K88+J88+I88+H88+G88+F88+E88+D88))</f>
        <v>0</v>
      </c>
      <c r="V88" s="106">
        <f>IF(V85=1,V86,$F$78-(U88+T88+S88+R88+Q88+P88+O88+N88+M88+L88+K88+J88+I88+H88+G88+F88+E88+D88))</f>
        <v>0</v>
      </c>
      <c r="W88" s="106">
        <f>IF(W85=1,W86,$F$78-(V88+U88+T88+S88+R88+Q88+P88+O88+N88+M88+L88+K88+J88+I88+H88+G88+F88+E88+D88))</f>
        <v>0</v>
      </c>
      <c r="X88" s="106">
        <f>IF(X85=1,X86,$F$78-(W88+V88+U88+T88+S88+R88+Q88+P88+O88+N88+M88+L88+K88+J88+I88+H88+G88+F88+E88+D88))</f>
        <v>0</v>
      </c>
      <c r="Y88" s="106">
        <f>IF(Y85=1,Y86,$F$78-(X88+W88+V88+U88+T88+S88+R88+Q88+P88+O88+N88+M88+L88+K88+J88+I88+H88+G88+F88+E88+D88))</f>
        <v>0</v>
      </c>
      <c r="Z88" s="106">
        <f>IF(Z85=1,Z86,$F$78-(Y88+X88+W88+V88+U88+T88+S88+R88+Q88+P88+O88+N88+M88+L88+K88+J88+I88+H88+G88+F88+E88+D88))</f>
        <v>0</v>
      </c>
      <c r="AA88" s="106">
        <f>IF(AA85=1,AA86,$F$78-(Z88+Y88+X88+W88+V88+U88+T88+S88+R88+Q88+P88+O88+N88+M88+L88+K88+J88+I88+H88+G88+F88+E88+D88))</f>
        <v>0</v>
      </c>
      <c r="AB88" s="106">
        <f>IF(AB85=1,AB86,$F$78-(AA88+Z88+Y88+X88+W88+V88+U88+T88+S88+R88+Q88+P88+O88+N88+M88+L88+K88+J88+I88+H88+G88+F88+E88+D88))</f>
        <v>0</v>
      </c>
    </row>
    <row r="90" spans="3:28">
      <c r="N90" s="106"/>
      <c r="O90" s="106"/>
    </row>
    <row r="91" spans="3:28">
      <c r="F91" s="106"/>
    </row>
    <row r="92" spans="3:28">
      <c r="D92" s="106">
        <f>'Simulazione 5.5'!E67</f>
        <v>0</v>
      </c>
      <c r="E92" s="106">
        <f>'Simulazione 5.5'!F67</f>
        <v>0</v>
      </c>
      <c r="F92" s="106">
        <f>'Simulazione 5.5'!G67</f>
        <v>0</v>
      </c>
      <c r="G92" s="106">
        <f>'Simulazione 5.5'!H67</f>
        <v>0</v>
      </c>
      <c r="H92" s="106">
        <f>'Simulazione 5.5'!I67</f>
        <v>0</v>
      </c>
      <c r="I92" s="106">
        <f>'Simulazione 5.5'!J67</f>
        <v>0</v>
      </c>
      <c r="J92" s="106">
        <f>'Simulazione 5.5'!K67</f>
        <v>0</v>
      </c>
      <c r="K92" s="106">
        <f>'Simulazione 5.5'!L67</f>
        <v>0</v>
      </c>
      <c r="L92" s="106">
        <f>'Simulazione 5.5'!M67</f>
        <v>0</v>
      </c>
      <c r="M92" s="106">
        <f>'Simulazione 5.5'!N67</f>
        <v>0</v>
      </c>
      <c r="N92" s="106">
        <f>'Simulazione 5.5'!O67</f>
        <v>0</v>
      </c>
      <c r="O92" s="106">
        <f>'Simulazione 5.5'!P67</f>
        <v>0</v>
      </c>
      <c r="P92" s="106">
        <f>'Simulazione 5.5'!Q67</f>
        <v>0</v>
      </c>
      <c r="Q92" s="106">
        <f>'Simulazione 5.5'!R67</f>
        <v>0</v>
      </c>
      <c r="R92" s="106">
        <f>'Simulazione 5.5'!S67</f>
        <v>0</v>
      </c>
      <c r="S92" s="106">
        <f>'Simulazione 5.5'!T67</f>
        <v>0</v>
      </c>
      <c r="T92" s="106">
        <f>'Simulazione 5.5'!U67</f>
        <v>0</v>
      </c>
      <c r="U92" s="106">
        <f>'Simulazione 5.5'!V67</f>
        <v>0</v>
      </c>
      <c r="V92" s="106">
        <f>'Simulazione 5.5'!W67</f>
        <v>0</v>
      </c>
      <c r="W92" s="106">
        <f>'Simulazione 5.5'!X67</f>
        <v>0</v>
      </c>
      <c r="X92" s="106">
        <f>'Simulazione 5.5'!Y67</f>
        <v>0</v>
      </c>
      <c r="Y92" s="106">
        <f>'Simulazione 5.5'!Z67</f>
        <v>0</v>
      </c>
      <c r="Z92" s="106">
        <f>'Simulazione 5.5'!AA67</f>
        <v>0</v>
      </c>
      <c r="AA92" s="106">
        <f>'Simulazione 5.5'!AB67</f>
        <v>0</v>
      </c>
      <c r="AB92" s="106">
        <f>'Simulazione 5.5'!AC67</f>
        <v>0</v>
      </c>
    </row>
    <row r="93" spans="3:28"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</row>
    <row r="94" spans="3:28">
      <c r="C94" s="6" t="s">
        <v>109</v>
      </c>
      <c r="D94" s="107" t="b">
        <f>AND(D92&lt;15000)</f>
        <v>1</v>
      </c>
      <c r="E94" s="107" t="b">
        <f t="shared" ref="E94:W94" si="44">AND(E92&lt;15000)</f>
        <v>1</v>
      </c>
      <c r="F94" s="107" t="b">
        <f t="shared" si="44"/>
        <v>1</v>
      </c>
      <c r="G94" s="107" t="b">
        <f t="shared" si="44"/>
        <v>1</v>
      </c>
      <c r="H94" s="107" t="b">
        <f t="shared" si="44"/>
        <v>1</v>
      </c>
      <c r="I94" s="107" t="b">
        <f t="shared" si="44"/>
        <v>1</v>
      </c>
      <c r="J94" s="107" t="b">
        <f t="shared" si="44"/>
        <v>1</v>
      </c>
      <c r="K94" s="107" t="b">
        <f t="shared" si="44"/>
        <v>1</v>
      </c>
      <c r="L94" s="107" t="b">
        <f t="shared" si="44"/>
        <v>1</v>
      </c>
      <c r="M94" s="107" t="b">
        <f t="shared" si="44"/>
        <v>1</v>
      </c>
      <c r="N94" s="107" t="b">
        <f t="shared" si="44"/>
        <v>1</v>
      </c>
      <c r="O94" s="107" t="b">
        <f t="shared" si="44"/>
        <v>1</v>
      </c>
      <c r="P94" s="107" t="b">
        <f t="shared" si="44"/>
        <v>1</v>
      </c>
      <c r="Q94" s="107" t="b">
        <f t="shared" si="44"/>
        <v>1</v>
      </c>
      <c r="R94" s="107" t="b">
        <f t="shared" si="44"/>
        <v>1</v>
      </c>
      <c r="S94" s="107" t="b">
        <f t="shared" si="44"/>
        <v>1</v>
      </c>
      <c r="T94" s="107" t="b">
        <f t="shared" si="44"/>
        <v>1</v>
      </c>
      <c r="U94" s="107" t="b">
        <f t="shared" si="44"/>
        <v>1</v>
      </c>
      <c r="V94" s="107" t="b">
        <f t="shared" si="44"/>
        <v>1</v>
      </c>
      <c r="W94" s="107" t="b">
        <f t="shared" si="44"/>
        <v>1</v>
      </c>
      <c r="X94" s="107" t="b">
        <f t="shared" ref="X94:AB94" si="45">AND(X92&lt;15000)</f>
        <v>1</v>
      </c>
      <c r="Y94" s="107" t="b">
        <f t="shared" si="45"/>
        <v>1</v>
      </c>
      <c r="Z94" s="107" t="b">
        <f t="shared" si="45"/>
        <v>1</v>
      </c>
      <c r="AA94" s="107" t="b">
        <f t="shared" si="45"/>
        <v>1</v>
      </c>
      <c r="AB94" s="107" t="b">
        <f t="shared" si="45"/>
        <v>1</v>
      </c>
    </row>
    <row r="95" spans="3:28">
      <c r="C95" s="106"/>
      <c r="D95" s="107">
        <f>IF(D94=TRUE,D92/100*'Simulazione 5.5'!$L$13,0)</f>
        <v>0</v>
      </c>
      <c r="E95" s="107">
        <f>IF(E94=TRUE,E92/100*'Simulazione 5.5'!$L$13,0)</f>
        <v>0</v>
      </c>
      <c r="F95" s="107">
        <f>IF(F94=TRUE,F92/100*'Simulazione 5.5'!$L$13,0)</f>
        <v>0</v>
      </c>
      <c r="G95" s="107">
        <f>IF(G94=TRUE,G92/100*'Simulazione 5.5'!$L$13,0)</f>
        <v>0</v>
      </c>
      <c r="H95" s="107">
        <f>IF(H94=TRUE,H92/100*'Simulazione 5.5'!$L$13,0)</f>
        <v>0</v>
      </c>
      <c r="I95" s="107">
        <f>IF(I94=TRUE,I92/100*'Simulazione 5.5'!$L$13,0)</f>
        <v>0</v>
      </c>
      <c r="J95" s="107">
        <f>IF(J94=TRUE,J92/100*'Simulazione 5.5'!$L$13,0)</f>
        <v>0</v>
      </c>
      <c r="K95" s="107">
        <f>IF(K94=TRUE,K92/100*'Simulazione 5.5'!$L$13,0)</f>
        <v>0</v>
      </c>
      <c r="L95" s="107">
        <f>IF(L94=TRUE,L92/100*'Simulazione 5.5'!$L$13,0)</f>
        <v>0</v>
      </c>
      <c r="M95" s="107">
        <f>IF(M94=TRUE,M92/100*'Simulazione 5.5'!$L$13,0)</f>
        <v>0</v>
      </c>
      <c r="N95" s="107">
        <f>IF(N94=TRUE,N92/100*'Simulazione 5.5'!$L$13,0)</f>
        <v>0</v>
      </c>
      <c r="O95" s="107">
        <f>IF(O94=TRUE,O92/100*'Simulazione 5.5'!$L$13,0)</f>
        <v>0</v>
      </c>
      <c r="P95" s="107">
        <f>IF(P94=TRUE,P92/100*'Simulazione 5.5'!$L$13,0)</f>
        <v>0</v>
      </c>
      <c r="Q95" s="107">
        <f>IF(Q94=TRUE,Q92/100*'Simulazione 5.5'!$L$13,0)</f>
        <v>0</v>
      </c>
      <c r="R95" s="107">
        <f>IF(R94=TRUE,R92/100*'Simulazione 5.5'!$L$13,0)</f>
        <v>0</v>
      </c>
      <c r="S95" s="107">
        <f>IF(S94=TRUE,S92/100*'Simulazione 5.5'!$L$13,0)</f>
        <v>0</v>
      </c>
      <c r="T95" s="107">
        <f>IF(T94=TRUE,T92/100*'Simulazione 5.5'!$L$13,0)</f>
        <v>0</v>
      </c>
      <c r="U95" s="107">
        <f>IF(U94=TRUE,U92/100*'Simulazione 5.5'!$L$13,0)</f>
        <v>0</v>
      </c>
      <c r="V95" s="107">
        <f>IF(V94=TRUE,V92/100*'Simulazione 5.5'!$L$13,0)</f>
        <v>0</v>
      </c>
      <c r="W95" s="107">
        <f>IF(W94=TRUE,W92/100*'Simulazione 5.5'!$L$13,0)</f>
        <v>0</v>
      </c>
      <c r="X95" s="107">
        <f>IF(X94=TRUE,X92/100*'Simulazione 5.5'!$L$13,0)</f>
        <v>0</v>
      </c>
      <c r="Y95" s="107">
        <f>IF(Y94=TRUE,Y92/100*'Simulazione 5.5'!$L$13,0)</f>
        <v>0</v>
      </c>
      <c r="Z95" s="107">
        <f>IF(Z94=TRUE,Z92/100*'Simulazione 5.5'!$L$13,0)</f>
        <v>0</v>
      </c>
      <c r="AA95" s="107">
        <f>IF(AA94=TRUE,AA92/100*'Simulazione 5.5'!$L$13,0)</f>
        <v>0</v>
      </c>
      <c r="AB95" s="107">
        <f>IF(AB94=TRUE,AB92/100*'Simulazione 5.5'!$L$13,0)</f>
        <v>0</v>
      </c>
    </row>
    <row r="96" spans="3:28"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</row>
    <row r="97" spans="3:28">
      <c r="C97" s="106" t="s">
        <v>108</v>
      </c>
      <c r="D97" s="107" t="b">
        <f>AND(D92&lt;28001,D92&gt;15000)</f>
        <v>0</v>
      </c>
      <c r="E97" s="107" t="b">
        <f t="shared" ref="E97:W97" si="46">AND(E92&lt;28001,E92&gt;15000)</f>
        <v>0</v>
      </c>
      <c r="F97" s="107" t="b">
        <f t="shared" si="46"/>
        <v>0</v>
      </c>
      <c r="G97" s="107" t="b">
        <f t="shared" si="46"/>
        <v>0</v>
      </c>
      <c r="H97" s="107" t="b">
        <f t="shared" si="46"/>
        <v>0</v>
      </c>
      <c r="I97" s="107" t="b">
        <f t="shared" si="46"/>
        <v>0</v>
      </c>
      <c r="J97" s="107" t="b">
        <f t="shared" si="46"/>
        <v>0</v>
      </c>
      <c r="K97" s="107" t="b">
        <f t="shared" si="46"/>
        <v>0</v>
      </c>
      <c r="L97" s="107" t="b">
        <f t="shared" si="46"/>
        <v>0</v>
      </c>
      <c r="M97" s="107" t="b">
        <f t="shared" si="46"/>
        <v>0</v>
      </c>
      <c r="N97" s="107" t="b">
        <f t="shared" si="46"/>
        <v>0</v>
      </c>
      <c r="O97" s="107" t="b">
        <f t="shared" si="46"/>
        <v>0</v>
      </c>
      <c r="P97" s="107" t="b">
        <f t="shared" si="46"/>
        <v>0</v>
      </c>
      <c r="Q97" s="107" t="b">
        <f t="shared" si="46"/>
        <v>0</v>
      </c>
      <c r="R97" s="107" t="b">
        <f t="shared" si="46"/>
        <v>0</v>
      </c>
      <c r="S97" s="107" t="b">
        <f t="shared" si="46"/>
        <v>0</v>
      </c>
      <c r="T97" s="107" t="b">
        <f t="shared" si="46"/>
        <v>0</v>
      </c>
      <c r="U97" s="107" t="b">
        <f t="shared" si="46"/>
        <v>0</v>
      </c>
      <c r="V97" s="107" t="b">
        <f t="shared" si="46"/>
        <v>0</v>
      </c>
      <c r="W97" s="107" t="b">
        <f t="shared" si="46"/>
        <v>0</v>
      </c>
      <c r="X97" s="107" t="b">
        <f t="shared" ref="X97:AB97" si="47">AND(X92&lt;28001,X92&gt;15000)</f>
        <v>0</v>
      </c>
      <c r="Y97" s="107" t="b">
        <f t="shared" si="47"/>
        <v>0</v>
      </c>
      <c r="Z97" s="107" t="b">
        <f t="shared" si="47"/>
        <v>0</v>
      </c>
      <c r="AA97" s="107" t="b">
        <f t="shared" si="47"/>
        <v>0</v>
      </c>
      <c r="AB97" s="107" t="b">
        <f t="shared" si="47"/>
        <v>0</v>
      </c>
    </row>
    <row r="98" spans="3:28">
      <c r="C98" s="106"/>
      <c r="D98" s="107">
        <f>IF(D97=TRUE,3450+((D92-15000)/100*'Simulazione 5.5'!$L$14),0)</f>
        <v>0</v>
      </c>
      <c r="E98" s="107">
        <f>IF(E97=TRUE,3450+((E92-15000)/100*'Simulazione 5.5'!$L$14),0)</f>
        <v>0</v>
      </c>
      <c r="F98" s="107">
        <f>IF(F97=TRUE,3450+((F92-15000)/100*'Simulazione 5.5'!$L$14),0)</f>
        <v>0</v>
      </c>
      <c r="G98" s="107">
        <f>IF(G97=TRUE,3450+((G92-15000)/100*'Simulazione 5.5'!$L$14),0)</f>
        <v>0</v>
      </c>
      <c r="H98" s="107">
        <f>IF(H97=TRUE,3450+((H92-15000)/100*'Simulazione 5.5'!$L$14),0)</f>
        <v>0</v>
      </c>
      <c r="I98" s="107">
        <f>IF(I97=TRUE,3450+((I92-15000)/100*'Simulazione 5.5'!$L$14),0)</f>
        <v>0</v>
      </c>
      <c r="J98" s="107">
        <f>IF(J97=TRUE,3450+((J92-15000)/100*'Simulazione 5.5'!$L$14),0)</f>
        <v>0</v>
      </c>
      <c r="K98" s="107">
        <f>IF(K97=TRUE,3450+((K92-15000)/100*'Simulazione 5.5'!$L$14),0)</f>
        <v>0</v>
      </c>
      <c r="L98" s="107">
        <f>IF(L97=TRUE,3450+((L92-15000)/100*'Simulazione 5.5'!$L$14),0)</f>
        <v>0</v>
      </c>
      <c r="M98" s="107">
        <f>IF(M97=TRUE,3450+((M92-15000)/100*'Simulazione 5.5'!$L$14),0)</f>
        <v>0</v>
      </c>
      <c r="N98" s="107">
        <f>IF(N97=TRUE,3450+((N92-15000)/100*'Simulazione 5.5'!$L$14),0)</f>
        <v>0</v>
      </c>
      <c r="O98" s="107">
        <f>IF(O97=TRUE,3450+((O92-15000)/100*'Simulazione 5.5'!$L$14),0)</f>
        <v>0</v>
      </c>
      <c r="P98" s="107">
        <f>IF(P97=TRUE,3450+((P92-15000)/100*'Simulazione 5.5'!$L$14),0)</f>
        <v>0</v>
      </c>
      <c r="Q98" s="107">
        <f>IF(Q97=TRUE,3450+((Q92-15000)/100*'Simulazione 5.5'!$L$14),0)</f>
        <v>0</v>
      </c>
      <c r="R98" s="107">
        <f>IF(R97=TRUE,3450+((R92-15000)/100*'Simulazione 5.5'!$L$14),0)</f>
        <v>0</v>
      </c>
      <c r="S98" s="107">
        <f>IF(S97=TRUE,3450+((S92-15000)/100*'Simulazione 5.5'!$L$14),0)</f>
        <v>0</v>
      </c>
      <c r="T98" s="107">
        <f>IF(T97=TRUE,3450+((T92-15000)/100*'Simulazione 5.5'!$L$14),0)</f>
        <v>0</v>
      </c>
      <c r="U98" s="107">
        <f>IF(U97=TRUE,3450+((U92-15000)/100*'Simulazione 5.5'!$L$14),0)</f>
        <v>0</v>
      </c>
      <c r="V98" s="107">
        <f>IF(V97=TRUE,3450+((V92-15000)/100*'Simulazione 5.5'!$L$14),0)</f>
        <v>0</v>
      </c>
      <c r="W98" s="107">
        <f>IF(W97=TRUE,3450+((W92-15000)/100*'Simulazione 5.5'!$L$14),0)</f>
        <v>0</v>
      </c>
      <c r="X98" s="107">
        <f>IF(X97=TRUE,3450+((X92-15000)/100*'Simulazione 5.5'!$L$14),0)</f>
        <v>0</v>
      </c>
      <c r="Y98" s="107">
        <f>IF(Y97=TRUE,3450+((Y92-15000)/100*'Simulazione 5.5'!$L$14),0)</f>
        <v>0</v>
      </c>
      <c r="Z98" s="107">
        <f>IF(Z97=TRUE,3450+((Z92-15000)/100*'Simulazione 5.5'!$L$14),0)</f>
        <v>0</v>
      </c>
      <c r="AA98" s="107">
        <f>IF(AA97=TRUE,3450+((AA92-15000)/100*'Simulazione 5.5'!$L$14),0)</f>
        <v>0</v>
      </c>
      <c r="AB98" s="107">
        <f>IF(AB97=TRUE,3450+((AB92-15000)/100*'Simulazione 5.5'!$L$14),0)</f>
        <v>0</v>
      </c>
    </row>
    <row r="99" spans="3:28">
      <c r="C99" s="106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</row>
    <row r="100" spans="3:28">
      <c r="C100" s="106" t="s">
        <v>110</v>
      </c>
      <c r="D100" s="107" t="b">
        <f>AND(D92&lt;55001,D92&gt;28000)</f>
        <v>0</v>
      </c>
      <c r="E100" s="107" t="b">
        <f t="shared" ref="E100:W100" si="48">AND(E92&lt;55001,E92&gt;28000)</f>
        <v>0</v>
      </c>
      <c r="F100" s="107" t="b">
        <f t="shared" si="48"/>
        <v>0</v>
      </c>
      <c r="G100" s="107" t="b">
        <f t="shared" si="48"/>
        <v>0</v>
      </c>
      <c r="H100" s="107" t="b">
        <f t="shared" si="48"/>
        <v>0</v>
      </c>
      <c r="I100" s="107" t="b">
        <f t="shared" si="48"/>
        <v>0</v>
      </c>
      <c r="J100" s="107" t="b">
        <f t="shared" si="48"/>
        <v>0</v>
      </c>
      <c r="K100" s="107" t="b">
        <f t="shared" si="48"/>
        <v>0</v>
      </c>
      <c r="L100" s="107" t="b">
        <f t="shared" si="48"/>
        <v>0</v>
      </c>
      <c r="M100" s="107" t="b">
        <f t="shared" si="48"/>
        <v>0</v>
      </c>
      <c r="N100" s="107" t="b">
        <f t="shared" si="48"/>
        <v>0</v>
      </c>
      <c r="O100" s="107" t="b">
        <f t="shared" si="48"/>
        <v>0</v>
      </c>
      <c r="P100" s="107" t="b">
        <f t="shared" si="48"/>
        <v>0</v>
      </c>
      <c r="Q100" s="107" t="b">
        <f t="shared" si="48"/>
        <v>0</v>
      </c>
      <c r="R100" s="107" t="b">
        <f t="shared" si="48"/>
        <v>0</v>
      </c>
      <c r="S100" s="107" t="b">
        <f t="shared" si="48"/>
        <v>0</v>
      </c>
      <c r="T100" s="107" t="b">
        <f t="shared" si="48"/>
        <v>0</v>
      </c>
      <c r="U100" s="107" t="b">
        <f t="shared" si="48"/>
        <v>0</v>
      </c>
      <c r="V100" s="107" t="b">
        <f t="shared" si="48"/>
        <v>0</v>
      </c>
      <c r="W100" s="107" t="b">
        <f t="shared" si="48"/>
        <v>0</v>
      </c>
      <c r="X100" s="107" t="b">
        <f t="shared" ref="X100:AB100" si="49">AND(X92&lt;55001,X92&gt;28000)</f>
        <v>0</v>
      </c>
      <c r="Y100" s="107" t="b">
        <f t="shared" si="49"/>
        <v>0</v>
      </c>
      <c r="Z100" s="107" t="b">
        <f t="shared" si="49"/>
        <v>0</v>
      </c>
      <c r="AA100" s="107" t="b">
        <f t="shared" si="49"/>
        <v>0</v>
      </c>
      <c r="AB100" s="107" t="b">
        <f t="shared" si="49"/>
        <v>0</v>
      </c>
    </row>
    <row r="101" spans="3:28">
      <c r="C101" s="106"/>
      <c r="D101" s="107">
        <f>IF(D100=TRUE,6960+((D92-28000)/100*'Simulazione 5.5'!$L$15),0)</f>
        <v>0</v>
      </c>
      <c r="E101" s="107">
        <f>IF(E100=TRUE,6960+((E92-28000)/100*'Simulazione 5.5'!$L$15),0)</f>
        <v>0</v>
      </c>
      <c r="F101" s="107">
        <f>IF(F100=TRUE,6960+((F92-28000)/100*'Simulazione 5.5'!$L$15),0)</f>
        <v>0</v>
      </c>
      <c r="G101" s="107">
        <f>IF(G100=TRUE,6960+((G92-28000)/100*'Simulazione 5.5'!$L$15),0)</f>
        <v>0</v>
      </c>
      <c r="H101" s="107">
        <f>IF(H100=TRUE,6960+((H92-28000)/100*'Simulazione 5.5'!$L$15),0)</f>
        <v>0</v>
      </c>
      <c r="I101" s="107">
        <f>IF(I100=TRUE,6960+((I92-28000)/100*'Simulazione 5.5'!$L$15),0)</f>
        <v>0</v>
      </c>
      <c r="J101" s="107">
        <f>IF(J100=TRUE,6960+((J92-28000)/100*'Simulazione 5.5'!$L$15),0)</f>
        <v>0</v>
      </c>
      <c r="K101" s="107">
        <f>IF(K100=TRUE,6960+((K92-28000)/100*'Simulazione 5.5'!$L$15),0)</f>
        <v>0</v>
      </c>
      <c r="L101" s="107">
        <f>IF(L100=TRUE,6960+((L92-28000)/100*'Simulazione 5.5'!$L$15),0)</f>
        <v>0</v>
      </c>
      <c r="M101" s="107">
        <f>IF(M100=TRUE,6960+((M92-28000)/100*'Simulazione 5.5'!$L$15),0)</f>
        <v>0</v>
      </c>
      <c r="N101" s="107">
        <f>IF(N100=TRUE,6960+((N92-28000)/100*'Simulazione 5.5'!$L$15),0)</f>
        <v>0</v>
      </c>
      <c r="O101" s="107">
        <f>IF(O100=TRUE,6960+((O92-28000)/100*'Simulazione 5.5'!$L$15),0)</f>
        <v>0</v>
      </c>
      <c r="P101" s="107">
        <f>IF(P100=TRUE,6960+((P92-28000)/100*'Simulazione 5.5'!$L$15),0)</f>
        <v>0</v>
      </c>
      <c r="Q101" s="107">
        <f>IF(Q100=TRUE,6960+((Q92-28000)/100*'Simulazione 5.5'!$L$15),0)</f>
        <v>0</v>
      </c>
      <c r="R101" s="107">
        <f>IF(R100=TRUE,6960+((R92-28000)/100*'Simulazione 5.5'!$L$15),0)</f>
        <v>0</v>
      </c>
      <c r="S101" s="107">
        <f>IF(S100=TRUE,6960+((S92-28000)/100*'Simulazione 5.5'!$L$15),0)</f>
        <v>0</v>
      </c>
      <c r="T101" s="107">
        <f>IF(T100=TRUE,6960+((T92-28000)/100*'Simulazione 5.5'!$L$15),0)</f>
        <v>0</v>
      </c>
      <c r="U101" s="107">
        <f>IF(U100=TRUE,6960+((U92-28000)/100*'Simulazione 5.5'!$L$15),0)</f>
        <v>0</v>
      </c>
      <c r="V101" s="107">
        <f>IF(V100=TRUE,6960+((V92-28000)/100*'Simulazione 5.5'!$L$15),0)</f>
        <v>0</v>
      </c>
      <c r="W101" s="107">
        <f>IF(W100=TRUE,6960+((W92-28000)/100*'Simulazione 5.5'!$L$15),0)</f>
        <v>0</v>
      </c>
      <c r="X101" s="107">
        <f>IF(X100=TRUE,6960+((X92-28000)/100*'Simulazione 5.5'!$L$15),0)</f>
        <v>0</v>
      </c>
      <c r="Y101" s="107">
        <f>IF(Y100=TRUE,6960+((Y92-28000)/100*'Simulazione 5.5'!$L$15),0)</f>
        <v>0</v>
      </c>
      <c r="Z101" s="107">
        <f>IF(Z100=TRUE,6960+((Z92-28000)/100*'Simulazione 5.5'!$L$15),0)</f>
        <v>0</v>
      </c>
      <c r="AA101" s="107">
        <f>IF(AA100=TRUE,6960+((AA92-28000)/100*'Simulazione 5.5'!$L$15),0)</f>
        <v>0</v>
      </c>
      <c r="AB101" s="107">
        <f>IF(AB100=TRUE,6960+((AB92-28000)/100*'Simulazione 5.5'!$L$15),0)</f>
        <v>0</v>
      </c>
    </row>
    <row r="102" spans="3:28"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</row>
    <row r="103" spans="3:28">
      <c r="C103" s="106" t="s">
        <v>111</v>
      </c>
      <c r="D103" s="107" t="b">
        <f>AND(D92&lt;75001,D92&gt;55000)</f>
        <v>0</v>
      </c>
      <c r="E103" s="107" t="b">
        <f t="shared" ref="E103:W103" si="50">AND(E92&lt;75001,E92&gt;55000)</f>
        <v>0</v>
      </c>
      <c r="F103" s="107" t="b">
        <f t="shared" si="50"/>
        <v>0</v>
      </c>
      <c r="G103" s="107" t="b">
        <f t="shared" si="50"/>
        <v>0</v>
      </c>
      <c r="H103" s="107" t="b">
        <f t="shared" si="50"/>
        <v>0</v>
      </c>
      <c r="I103" s="107" t="b">
        <f t="shared" si="50"/>
        <v>0</v>
      </c>
      <c r="J103" s="107" t="b">
        <f t="shared" si="50"/>
        <v>0</v>
      </c>
      <c r="K103" s="107" t="b">
        <f t="shared" si="50"/>
        <v>0</v>
      </c>
      <c r="L103" s="107" t="b">
        <f t="shared" si="50"/>
        <v>0</v>
      </c>
      <c r="M103" s="107" t="b">
        <f t="shared" si="50"/>
        <v>0</v>
      </c>
      <c r="N103" s="107" t="b">
        <f t="shared" si="50"/>
        <v>0</v>
      </c>
      <c r="O103" s="107" t="b">
        <f t="shared" si="50"/>
        <v>0</v>
      </c>
      <c r="P103" s="107" t="b">
        <f t="shared" si="50"/>
        <v>0</v>
      </c>
      <c r="Q103" s="107" t="b">
        <f t="shared" si="50"/>
        <v>0</v>
      </c>
      <c r="R103" s="107" t="b">
        <f t="shared" si="50"/>
        <v>0</v>
      </c>
      <c r="S103" s="107" t="b">
        <f t="shared" si="50"/>
        <v>0</v>
      </c>
      <c r="T103" s="107" t="b">
        <f t="shared" si="50"/>
        <v>0</v>
      </c>
      <c r="U103" s="107" t="b">
        <f t="shared" si="50"/>
        <v>0</v>
      </c>
      <c r="V103" s="107" t="b">
        <f t="shared" si="50"/>
        <v>0</v>
      </c>
      <c r="W103" s="107" t="b">
        <f t="shared" si="50"/>
        <v>0</v>
      </c>
      <c r="X103" s="107" t="b">
        <f t="shared" ref="X103:AB103" si="51">AND(X92&lt;75001,X92&gt;55000)</f>
        <v>0</v>
      </c>
      <c r="Y103" s="107" t="b">
        <f t="shared" si="51"/>
        <v>0</v>
      </c>
      <c r="Z103" s="107" t="b">
        <f t="shared" si="51"/>
        <v>0</v>
      </c>
      <c r="AA103" s="107" t="b">
        <f t="shared" si="51"/>
        <v>0</v>
      </c>
      <c r="AB103" s="107" t="b">
        <f t="shared" si="51"/>
        <v>0</v>
      </c>
    </row>
    <row r="104" spans="3:28">
      <c r="D104" s="107">
        <f>IF(D103=TRUE,17220+((D92-55000)/100*'Simulazione 5.5'!$L$16),0)</f>
        <v>0</v>
      </c>
      <c r="E104" s="107">
        <f>IF(E103=TRUE,17220+((E92-55000)/100*'Simulazione 5.5'!$L$16),0)</f>
        <v>0</v>
      </c>
      <c r="F104" s="107">
        <f>IF(F103=TRUE,17220+((F92-55000)/100*'Simulazione 5.5'!$L$16),0)</f>
        <v>0</v>
      </c>
      <c r="G104" s="107">
        <f>IF(G103=TRUE,17220+((G92-55000)/100*'Simulazione 5.5'!$L$16),0)</f>
        <v>0</v>
      </c>
      <c r="H104" s="107">
        <f>IF(H103=TRUE,17220+((H92-55000)/100*'Simulazione 5.5'!$L$16),0)</f>
        <v>0</v>
      </c>
      <c r="I104" s="107">
        <f>IF(I103=TRUE,17220+((I92-55000)/100*'Simulazione 5.5'!$L$16),0)</f>
        <v>0</v>
      </c>
      <c r="J104" s="107">
        <f>IF(J103=TRUE,17220+((J92-55000)/100*'Simulazione 5.5'!$L$16),0)</f>
        <v>0</v>
      </c>
      <c r="K104" s="107">
        <f>IF(K103=TRUE,17220+((K92-55000)/100*'Simulazione 5.5'!$L$16),0)</f>
        <v>0</v>
      </c>
      <c r="L104" s="107">
        <f>IF(L103=TRUE,17220+((L92-55000)/100*'Simulazione 5.5'!$L$16),0)</f>
        <v>0</v>
      </c>
      <c r="M104" s="107">
        <f>IF(M103=TRUE,17220+((M92-55000)/100*'Simulazione 5.5'!$L$16),0)</f>
        <v>0</v>
      </c>
      <c r="N104" s="107">
        <f>IF(N103=TRUE,17220+((N92-55000)/100*'Simulazione 5.5'!$L$16),0)</f>
        <v>0</v>
      </c>
      <c r="O104" s="107">
        <f>IF(O103=TRUE,17220+((O92-55000)/100*'Simulazione 5.5'!$L$16),0)</f>
        <v>0</v>
      </c>
      <c r="P104" s="107">
        <f>IF(P103=TRUE,17220+((P92-55000)/100*'Simulazione 5.5'!$L$16),0)</f>
        <v>0</v>
      </c>
      <c r="Q104" s="107">
        <f>IF(Q103=TRUE,17220+((Q92-55000)/100*'Simulazione 5.5'!$L$16),0)</f>
        <v>0</v>
      </c>
      <c r="R104" s="107">
        <f>IF(R103=TRUE,17220+((R92-55000)/100*'Simulazione 5.5'!$L$16),0)</f>
        <v>0</v>
      </c>
      <c r="S104" s="107">
        <f>IF(S103=TRUE,17220+((S92-55000)/100*'Simulazione 5.5'!$L$16),0)</f>
        <v>0</v>
      </c>
      <c r="T104" s="107">
        <f>IF(T103=TRUE,17220+((T92-55000)/100*'Simulazione 5.5'!$L$16),0)</f>
        <v>0</v>
      </c>
      <c r="U104" s="107">
        <f>IF(U103=TRUE,17220+((U92-55000)/100*'Simulazione 5.5'!$L$16),0)</f>
        <v>0</v>
      </c>
      <c r="V104" s="107">
        <f>IF(V103=TRUE,17220+((V92-55000)/100*'Simulazione 5.5'!$L$16),0)</f>
        <v>0</v>
      </c>
      <c r="W104" s="107">
        <f>IF(W103=TRUE,17220+((W92-55000)/100*'Simulazione 5.5'!$L$16),0)</f>
        <v>0</v>
      </c>
      <c r="X104" s="107">
        <f>IF(X103=TRUE,17220+((X92-55000)/100*'Simulazione 5.5'!$L$16),0)</f>
        <v>0</v>
      </c>
      <c r="Y104" s="107">
        <f>IF(Y103=TRUE,17220+((Y92-55000)/100*'Simulazione 5.5'!$L$16),0)</f>
        <v>0</v>
      </c>
      <c r="Z104" s="107">
        <f>IF(Z103=TRUE,17220+((Z92-55000)/100*'Simulazione 5.5'!$L$16),0)</f>
        <v>0</v>
      </c>
      <c r="AA104" s="107">
        <f>IF(AA103=TRUE,17220+((AA92-55000)/100*'Simulazione 5.5'!$L$16),0)</f>
        <v>0</v>
      </c>
      <c r="AB104" s="107">
        <f>IF(AB103=TRUE,17220+((AB92-55000)/100*'Simulazione 5.5'!$L$16),0)</f>
        <v>0</v>
      </c>
    </row>
    <row r="105" spans="3:28"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</row>
    <row r="106" spans="3:28">
      <c r="C106" s="106" t="s">
        <v>112</v>
      </c>
      <c r="D106" s="107" t="b">
        <f>AND(D92&gt;75000)</f>
        <v>0</v>
      </c>
      <c r="E106" s="107" t="b">
        <f t="shared" ref="E106:W106" si="52">AND(E92&gt;75000)</f>
        <v>0</v>
      </c>
      <c r="F106" s="107" t="b">
        <f t="shared" si="52"/>
        <v>0</v>
      </c>
      <c r="G106" s="107" t="b">
        <f t="shared" si="52"/>
        <v>0</v>
      </c>
      <c r="H106" s="107" t="b">
        <f t="shared" si="52"/>
        <v>0</v>
      </c>
      <c r="I106" s="107" t="b">
        <f t="shared" si="52"/>
        <v>0</v>
      </c>
      <c r="J106" s="107" t="b">
        <f t="shared" si="52"/>
        <v>0</v>
      </c>
      <c r="K106" s="107" t="b">
        <f t="shared" si="52"/>
        <v>0</v>
      </c>
      <c r="L106" s="107" t="b">
        <f t="shared" si="52"/>
        <v>0</v>
      </c>
      <c r="M106" s="107" t="b">
        <f t="shared" si="52"/>
        <v>0</v>
      </c>
      <c r="N106" s="107" t="b">
        <f t="shared" si="52"/>
        <v>0</v>
      </c>
      <c r="O106" s="107" t="b">
        <f t="shared" si="52"/>
        <v>0</v>
      </c>
      <c r="P106" s="107" t="b">
        <f t="shared" si="52"/>
        <v>0</v>
      </c>
      <c r="Q106" s="107" t="b">
        <f t="shared" si="52"/>
        <v>0</v>
      </c>
      <c r="R106" s="107" t="b">
        <f t="shared" si="52"/>
        <v>0</v>
      </c>
      <c r="S106" s="107" t="b">
        <f t="shared" si="52"/>
        <v>0</v>
      </c>
      <c r="T106" s="107" t="b">
        <f t="shared" si="52"/>
        <v>0</v>
      </c>
      <c r="U106" s="107" t="b">
        <f t="shared" si="52"/>
        <v>0</v>
      </c>
      <c r="V106" s="107" t="b">
        <f t="shared" si="52"/>
        <v>0</v>
      </c>
      <c r="W106" s="107" t="b">
        <f t="shared" si="52"/>
        <v>0</v>
      </c>
      <c r="X106" s="107" t="b">
        <f t="shared" ref="X106:AB106" si="53">AND(X92&gt;75000)</f>
        <v>0</v>
      </c>
      <c r="Y106" s="107" t="b">
        <f t="shared" si="53"/>
        <v>0</v>
      </c>
      <c r="Z106" s="107" t="b">
        <f t="shared" si="53"/>
        <v>0</v>
      </c>
      <c r="AA106" s="107" t="b">
        <f t="shared" si="53"/>
        <v>0</v>
      </c>
      <c r="AB106" s="107" t="b">
        <f t="shared" si="53"/>
        <v>0</v>
      </c>
    </row>
    <row r="107" spans="3:28">
      <c r="D107" s="107">
        <f>IF(D106=TRUE,25420+((D92-75000)/100*'Simulazione 5.5'!$L$17),0)</f>
        <v>0</v>
      </c>
      <c r="E107" s="107">
        <f>IF(E106=TRUE,25420+((E92-75000)/100*'Simulazione 5.5'!$L$17),0)</f>
        <v>0</v>
      </c>
      <c r="F107" s="107">
        <f>IF(F106=TRUE,25420+((F92-75000)/100*'Simulazione 5.5'!$L$17),0)</f>
        <v>0</v>
      </c>
      <c r="G107" s="107">
        <f>IF(G106=TRUE,25420+((G92-75000)/100*'Simulazione 5.5'!$L$17),0)</f>
        <v>0</v>
      </c>
      <c r="H107" s="107">
        <f>IF(H106=TRUE,25420+((H92-75000)/100*'Simulazione 5.5'!$L$17),0)</f>
        <v>0</v>
      </c>
      <c r="I107" s="107">
        <f>IF(I106=TRUE,25420+((I92-75000)/100*'Simulazione 5.5'!$L$17),0)</f>
        <v>0</v>
      </c>
      <c r="J107" s="107">
        <f>IF(J106=TRUE,25420+((J92-75000)/100*'Simulazione 5.5'!$L$17),0)</f>
        <v>0</v>
      </c>
      <c r="K107" s="107">
        <f>IF(K106=TRUE,25420+((K92-75000)/100*'Simulazione 5.5'!$L$17),0)</f>
        <v>0</v>
      </c>
      <c r="L107" s="107">
        <f>IF(L106=TRUE,25420+((L92-75000)/100*'Simulazione 5.5'!$L$17),0)</f>
        <v>0</v>
      </c>
      <c r="M107" s="107">
        <f>IF(M106=TRUE,25420+((M92-75000)/100*'Simulazione 5.5'!$L$17),0)</f>
        <v>0</v>
      </c>
      <c r="N107" s="107">
        <f>IF(N106=TRUE,25420+((N92-75000)/100*'Simulazione 5.5'!$L$17),0)</f>
        <v>0</v>
      </c>
      <c r="O107" s="107">
        <f>IF(O106=TRUE,25420+((O92-75000)/100*'Simulazione 5.5'!$L$17),0)</f>
        <v>0</v>
      </c>
      <c r="P107" s="107">
        <f>IF(P106=TRUE,25420+((P92-75000)/100*'Simulazione 5.5'!$L$17),0)</f>
        <v>0</v>
      </c>
      <c r="Q107" s="107">
        <f>IF(Q106=TRUE,25420+((Q92-75000)/100*'Simulazione 5.5'!$L$17),0)</f>
        <v>0</v>
      </c>
      <c r="R107" s="107">
        <f>IF(R106=TRUE,25420+((R92-75000)/100*'Simulazione 5.5'!$L$17),0)</f>
        <v>0</v>
      </c>
      <c r="S107" s="107">
        <f>IF(S106=TRUE,25420+((S92-75000)/100*'Simulazione 5.5'!$L$17),0)</f>
        <v>0</v>
      </c>
      <c r="T107" s="107">
        <f>IF(T106=TRUE,25420+((T92-75000)/100*'Simulazione 5.5'!$L$17),0)</f>
        <v>0</v>
      </c>
      <c r="U107" s="107">
        <f>IF(U106=TRUE,25420+((U92-75000)/100*'Simulazione 5.5'!$L$17),0)</f>
        <v>0</v>
      </c>
      <c r="V107" s="107">
        <f>IF(V106=TRUE,25420+((V92-75000)/100*'Simulazione 5.5'!$L$17),0)</f>
        <v>0</v>
      </c>
      <c r="W107" s="107">
        <f>IF(W106=TRUE,25420+((W92-75000)/100*'Simulazione 5.5'!$L$17),0)</f>
        <v>0</v>
      </c>
      <c r="X107" s="107">
        <f>IF(X106=TRUE,25420+((X92-75000)/100*'Simulazione 5.5'!$L$17),0)</f>
        <v>0</v>
      </c>
      <c r="Y107" s="107">
        <f>IF(Y106=TRUE,25420+((Y92-75000)/100*'Simulazione 5.5'!$L$17),0)</f>
        <v>0</v>
      </c>
      <c r="Z107" s="107">
        <f>IF(Z106=TRUE,25420+((Z92-75000)/100*'Simulazione 5.5'!$L$17),0)</f>
        <v>0</v>
      </c>
      <c r="AA107" s="107">
        <f>IF(AA106=TRUE,25420+((AA92-75000)/100*'Simulazione 5.5'!$L$17),0)</f>
        <v>0</v>
      </c>
      <c r="AB107" s="107">
        <f>IF(AB106=TRUE,25420+((AB92-75000)/100*'Simulazione 5.5'!$L$17),0)</f>
        <v>0</v>
      </c>
    </row>
    <row r="108" spans="3:28"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</row>
    <row r="109" spans="3:28"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</row>
    <row r="110" spans="3:28">
      <c r="D110" s="107">
        <f>D95+D98+D101+D104+D107</f>
        <v>0</v>
      </c>
      <c r="E110" s="107">
        <f t="shared" ref="E110:W110" si="54">E95+E98+E101+E104+E107</f>
        <v>0</v>
      </c>
      <c r="F110" s="107">
        <f t="shared" si="54"/>
        <v>0</v>
      </c>
      <c r="G110" s="107">
        <f t="shared" si="54"/>
        <v>0</v>
      </c>
      <c r="H110" s="107">
        <f t="shared" si="54"/>
        <v>0</v>
      </c>
      <c r="I110" s="107">
        <f t="shared" si="54"/>
        <v>0</v>
      </c>
      <c r="J110" s="107">
        <f t="shared" si="54"/>
        <v>0</v>
      </c>
      <c r="K110" s="107">
        <f t="shared" si="54"/>
        <v>0</v>
      </c>
      <c r="L110" s="107">
        <f t="shared" si="54"/>
        <v>0</v>
      </c>
      <c r="M110" s="107">
        <f t="shared" si="54"/>
        <v>0</v>
      </c>
      <c r="N110" s="107">
        <f t="shared" si="54"/>
        <v>0</v>
      </c>
      <c r="O110" s="107">
        <f t="shared" si="54"/>
        <v>0</v>
      </c>
      <c r="P110" s="107">
        <f t="shared" si="54"/>
        <v>0</v>
      </c>
      <c r="Q110" s="107">
        <f t="shared" si="54"/>
        <v>0</v>
      </c>
      <c r="R110" s="107">
        <f t="shared" si="54"/>
        <v>0</v>
      </c>
      <c r="S110" s="107">
        <f t="shared" si="54"/>
        <v>0</v>
      </c>
      <c r="T110" s="107">
        <f t="shared" si="54"/>
        <v>0</v>
      </c>
      <c r="U110" s="107">
        <f t="shared" si="54"/>
        <v>0</v>
      </c>
      <c r="V110" s="107">
        <f t="shared" si="54"/>
        <v>0</v>
      </c>
      <c r="W110" s="107">
        <f t="shared" si="54"/>
        <v>0</v>
      </c>
      <c r="X110" s="107">
        <f t="shared" ref="X110:AB110" si="55">X95+X98+X101+X104+X107</f>
        <v>0</v>
      </c>
      <c r="Y110" s="107">
        <f t="shared" si="55"/>
        <v>0</v>
      </c>
      <c r="Z110" s="107">
        <f t="shared" si="55"/>
        <v>0</v>
      </c>
      <c r="AA110" s="107">
        <f t="shared" si="55"/>
        <v>0</v>
      </c>
      <c r="AB110" s="107">
        <f t="shared" si="55"/>
        <v>0</v>
      </c>
    </row>
    <row r="111" spans="3:28"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</row>
    <row r="114" spans="3:22">
      <c r="C114" s="107">
        <f>'Simulazione 5.5'!E80</f>
        <v>-4143.8</v>
      </c>
      <c r="D114" s="107">
        <f>'Simulazione 5.5'!F80</f>
        <v>-3435.6136000000006</v>
      </c>
      <c r="E114" s="107">
        <f>'Simulazione 5.5'!G80</f>
        <v>-2725.8049795200009</v>
      </c>
      <c r="F114" s="107">
        <f>'Simulazione 5.5'!H80</f>
        <v>-2013.7030964178568</v>
      </c>
      <c r="G114" s="107">
        <f>'Simulazione 5.5'!I80</f>
        <v>-1298.5994795581514</v>
      </c>
      <c r="H114" s="107">
        <f>'Simulazione 5.5'!J80</f>
        <v>-579.74588716945573</v>
      </c>
      <c r="I114" s="107">
        <f>'Simulazione 5.5'!K80</f>
        <v>143.64817728917757</v>
      </c>
      <c r="J114" s="107">
        <f>'Simulazione 5.5'!L80</f>
        <v>872.41810042911493</v>
      </c>
      <c r="K114" s="107">
        <f>'Simulazione 5.5'!M80</f>
        <v>1607.446954604756</v>
      </c>
      <c r="L114" s="107">
        <f>'Simulazione 5.5'!N80</f>
        <v>2349.6684637219805</v>
      </c>
      <c r="M114" s="107">
        <f>'Simulazione 5.5'!O80</f>
        <v>3100.0701495403828</v>
      </c>
      <c r="N114" s="107">
        <f>'Simulazione 5.5'!P80</f>
        <v>3859.6966694571793</v>
      </c>
      <c r="O114" s="107">
        <f>'Simulazione 5.5'!Q80</f>
        <v>4629.6533574289397</v>
      </c>
      <c r="P114" s="107">
        <f>'Simulazione 5.5'!R80</f>
        <v>5411.1099803961588</v>
      </c>
      <c r="Q114" s="107">
        <f>'Simulazione 5.5'!S80</f>
        <v>6205.3047233276793</v>
      </c>
      <c r="R114" s="107">
        <f>'Simulazione 5.5'!T80</f>
        <v>7063.5484167996883</v>
      </c>
      <c r="S114" s="107">
        <f>'Simulazione 5.5'!U80</f>
        <v>7937.2290218702219</v>
      </c>
      <c r="T114" s="107">
        <f>'Simulazione 5.5'!V80</f>
        <v>8827.8163879077947</v>
      </c>
      <c r="U114" s="107">
        <f>'Simulazione 5.5'!W80</f>
        <v>9736.867299985006</v>
      </c>
      <c r="V114" s="107">
        <f>'Simulazione 5.5'!X80</f>
        <v>10666.030833458168</v>
      </c>
    </row>
    <row r="117" spans="3:22">
      <c r="C117" s="6" t="s">
        <v>89</v>
      </c>
      <c r="D117" s="6" t="b">
        <f>AND(D76&gt;1,D76&lt;4)</f>
        <v>0</v>
      </c>
    </row>
    <row r="119" spans="3:22">
      <c r="D119" s="209" t="s">
        <v>127</v>
      </c>
      <c r="E119" s="209"/>
      <c r="F119" s="209"/>
    </row>
    <row r="120" spans="3:22" ht="15.75" thickBot="1"/>
    <row r="121" spans="3:22">
      <c r="D121" s="23"/>
      <c r="E121" s="15"/>
      <c r="F121" s="203" t="s">
        <v>4</v>
      </c>
      <c r="G121" s="204"/>
      <c r="H121" s="116"/>
      <c r="I121" s="116"/>
      <c r="J121" s="117"/>
      <c r="K121" s="15"/>
      <c r="L121" s="203" t="s">
        <v>5</v>
      </c>
      <c r="M121" s="204"/>
      <c r="N121" s="2"/>
      <c r="O121" s="2"/>
    </row>
    <row r="122" spans="3:22">
      <c r="D122" s="22"/>
      <c r="E122" s="2"/>
      <c r="F122" s="5" t="s">
        <v>2</v>
      </c>
      <c r="G122" s="26" t="s">
        <v>3</v>
      </c>
      <c r="H122" s="116"/>
      <c r="I122" s="116"/>
      <c r="J122" s="118"/>
      <c r="K122" s="2"/>
      <c r="L122" s="5" t="s">
        <v>2</v>
      </c>
      <c r="M122" s="26" t="s">
        <v>3</v>
      </c>
      <c r="N122" s="27"/>
      <c r="O122" s="27"/>
    </row>
    <row r="123" spans="3:22">
      <c r="D123" s="22" t="b">
        <f>AND($D$1=1,$D$7=1,'Simulazione 5.5'!$C$3&lt;=3,'Simulazione 5.5'!$C$3&gt;=1)</f>
        <v>1</v>
      </c>
      <c r="E123" s="28" t="s">
        <v>6</v>
      </c>
      <c r="F123" s="5">
        <v>208</v>
      </c>
      <c r="G123" s="26">
        <f t="shared" ref="G123:G128" si="56">F123-82</f>
        <v>126</v>
      </c>
      <c r="H123" s="116">
        <f t="shared" ref="H123:H128" si="57">IF(D123=TRUE,(F123+L123)/2,0)</f>
        <v>204.5</v>
      </c>
      <c r="I123" s="116">
        <f t="shared" ref="I123:I128" si="58">IF(D123=TRUE,(G123+M123)/2,0)</f>
        <v>122.5</v>
      </c>
      <c r="J123" s="22"/>
      <c r="K123" s="28" t="s">
        <v>6</v>
      </c>
      <c r="L123" s="5">
        <v>201</v>
      </c>
      <c r="M123" s="26">
        <f t="shared" ref="M123:M128" si="59">L123-82</f>
        <v>119</v>
      </c>
      <c r="N123" s="5"/>
      <c r="O123" s="5"/>
    </row>
    <row r="124" spans="3:22">
      <c r="D124" s="22" t="b">
        <f>AND($D$1=1,$D$7=1,'Simulazione 5.5'!$C$3&lt;=20,'Simulazione 5.5'!$C$3&gt;3)</f>
        <v>0</v>
      </c>
      <c r="E124" s="28" t="s">
        <v>7</v>
      </c>
      <c r="F124" s="5">
        <v>196</v>
      </c>
      <c r="G124" s="26">
        <f t="shared" si="56"/>
        <v>114</v>
      </c>
      <c r="H124" s="116">
        <f t="shared" si="57"/>
        <v>0</v>
      </c>
      <c r="I124" s="116">
        <f t="shared" si="58"/>
        <v>0</v>
      </c>
      <c r="J124" s="22"/>
      <c r="K124" s="28" t="s">
        <v>7</v>
      </c>
      <c r="L124" s="5">
        <v>189</v>
      </c>
      <c r="M124" s="26">
        <f t="shared" si="59"/>
        <v>107</v>
      </c>
      <c r="N124" s="5"/>
      <c r="O124" s="5"/>
    </row>
    <row r="125" spans="3:22">
      <c r="D125" s="22" t="b">
        <f>AND($D$1=1,$D$7=1,'Simulazione 5.5'!$C$3&lt;=200,'Simulazione 5.5'!$C$3&gt;20)</f>
        <v>0</v>
      </c>
      <c r="E125" s="28" t="s">
        <v>8</v>
      </c>
      <c r="F125" s="5">
        <v>175</v>
      </c>
      <c r="G125" s="26">
        <f t="shared" si="56"/>
        <v>93</v>
      </c>
      <c r="H125" s="116">
        <f t="shared" si="57"/>
        <v>0</v>
      </c>
      <c r="I125" s="116">
        <f t="shared" si="58"/>
        <v>0</v>
      </c>
      <c r="J125" s="22"/>
      <c r="K125" s="28" t="s">
        <v>8</v>
      </c>
      <c r="L125" s="5">
        <v>168</v>
      </c>
      <c r="M125" s="26">
        <f t="shared" si="59"/>
        <v>86</v>
      </c>
      <c r="N125" s="5"/>
      <c r="O125" s="5"/>
    </row>
    <row r="126" spans="3:22">
      <c r="D126" s="22" t="b">
        <f>AND($D$1=1,$D$7=1,'Simulazione 5.5'!$C$3&lt;=1000,'Simulazione 5.5'!$C$3&gt;200)</f>
        <v>0</v>
      </c>
      <c r="E126" s="28" t="s">
        <v>9</v>
      </c>
      <c r="F126" s="5">
        <v>142</v>
      </c>
      <c r="G126" s="26">
        <f t="shared" si="56"/>
        <v>60</v>
      </c>
      <c r="H126" s="116">
        <f t="shared" si="57"/>
        <v>0</v>
      </c>
      <c r="I126" s="116">
        <f t="shared" si="58"/>
        <v>0</v>
      </c>
      <c r="J126" s="22"/>
      <c r="K126" s="28" t="s">
        <v>9</v>
      </c>
      <c r="L126" s="5">
        <v>135</v>
      </c>
      <c r="M126" s="26">
        <f t="shared" si="59"/>
        <v>53</v>
      </c>
      <c r="N126" s="5"/>
      <c r="O126" s="5"/>
    </row>
    <row r="127" spans="3:22">
      <c r="D127" s="22" t="b">
        <f>AND($D$1=1,$D$7=1,'Simulazione 5.5'!$C$3&lt;=5000,'Simulazione 5.5'!$C$3&gt;1000)</f>
        <v>0</v>
      </c>
      <c r="E127" s="28" t="s">
        <v>10</v>
      </c>
      <c r="F127" s="5">
        <v>126</v>
      </c>
      <c r="G127" s="26">
        <f t="shared" si="56"/>
        <v>44</v>
      </c>
      <c r="H127" s="116">
        <f t="shared" si="57"/>
        <v>0</v>
      </c>
      <c r="I127" s="116">
        <f t="shared" si="58"/>
        <v>0</v>
      </c>
      <c r="J127" s="22"/>
      <c r="K127" s="28" t="s">
        <v>10</v>
      </c>
      <c r="L127" s="5">
        <v>120</v>
      </c>
      <c r="M127" s="26">
        <f t="shared" si="59"/>
        <v>38</v>
      </c>
      <c r="N127" s="5"/>
      <c r="O127" s="5"/>
    </row>
    <row r="128" spans="3:22" ht="15.75" thickBot="1">
      <c r="D128" s="29" t="b">
        <f>AND($D$1=1,$D$7=1,'Simulazione 5.5'!$C$3&gt;=5000)</f>
        <v>0</v>
      </c>
      <c r="E128" s="35" t="s">
        <v>11</v>
      </c>
      <c r="F128" s="36">
        <v>119</v>
      </c>
      <c r="G128" s="37">
        <f t="shared" si="56"/>
        <v>37</v>
      </c>
      <c r="H128" s="116">
        <f t="shared" si="57"/>
        <v>0</v>
      </c>
      <c r="I128" s="116">
        <f t="shared" si="58"/>
        <v>0</v>
      </c>
      <c r="J128" s="29"/>
      <c r="K128" s="35" t="s">
        <v>11</v>
      </c>
      <c r="L128" s="36">
        <v>113</v>
      </c>
      <c r="M128" s="37">
        <f t="shared" si="59"/>
        <v>31</v>
      </c>
      <c r="N128" s="5"/>
      <c r="O128" s="5"/>
    </row>
    <row r="129" spans="4:15" ht="15.75" thickBot="1">
      <c r="F129" s="116"/>
      <c r="G129" s="116"/>
      <c r="H129" s="42">
        <f>IF($H$9=3,H123+H124+H125+H126+H127+H128,0)</f>
        <v>0</v>
      </c>
      <c r="I129" s="42">
        <f>IF($H$9=3,I123+I124+I125+I126+I127+I128,0)</f>
        <v>0</v>
      </c>
      <c r="K129" s="116"/>
      <c r="L129" s="116"/>
      <c r="M129" s="116"/>
      <c r="N129" s="5"/>
      <c r="O129" s="5"/>
    </row>
    <row r="130" spans="4:15">
      <c r="F130" s="116"/>
      <c r="G130" s="116"/>
      <c r="H130" s="5"/>
      <c r="I130" s="5"/>
      <c r="K130" s="116"/>
      <c r="L130" s="116"/>
      <c r="M130" s="116"/>
      <c r="N130" s="5"/>
      <c r="O130" s="5"/>
    </row>
    <row r="131" spans="4:15" ht="15.75" thickBot="1">
      <c r="F131" s="201"/>
      <c r="G131" s="201"/>
      <c r="H131" s="116"/>
      <c r="I131" s="116"/>
      <c r="K131" s="116"/>
      <c r="L131" s="201"/>
      <c r="M131" s="201"/>
      <c r="N131" s="5"/>
      <c r="O131" s="5"/>
    </row>
    <row r="132" spans="4:15" ht="15.75">
      <c r="D132" s="87"/>
      <c r="E132" s="88"/>
      <c r="F132" s="89" t="s">
        <v>2</v>
      </c>
      <c r="G132" s="90" t="s">
        <v>3</v>
      </c>
      <c r="H132" s="49"/>
      <c r="I132" s="49"/>
      <c r="J132" s="87"/>
      <c r="K132" s="88"/>
      <c r="L132" s="89" t="s">
        <v>2</v>
      </c>
      <c r="M132" s="90" t="s">
        <v>3</v>
      </c>
      <c r="N132" s="47"/>
      <c r="O132" s="47"/>
    </row>
    <row r="133" spans="4:15" ht="15.75">
      <c r="D133" s="22" t="b">
        <f>AND($D$1=2,$D$7=1,'Simulazione 5.5'!$C$3&lt;=3,'Simulazione 5.5'!$C$3&gt;=1)</f>
        <v>0</v>
      </c>
      <c r="E133" s="28" t="s">
        <v>6</v>
      </c>
      <c r="F133" s="51">
        <v>182</v>
      </c>
      <c r="G133" s="52">
        <f t="shared" ref="G133:G138" si="60">F133-82</f>
        <v>100</v>
      </c>
      <c r="H133" s="116">
        <f t="shared" ref="H133:H138" si="61">IF(D133=TRUE,(F133+L133)/2,0)</f>
        <v>0</v>
      </c>
      <c r="I133" s="116">
        <f t="shared" ref="I133:I138" si="62">IF(D133=TRUE,(G133+M133)/2,0)</f>
        <v>0</v>
      </c>
      <c r="J133" s="22"/>
      <c r="K133" s="28" t="s">
        <v>6</v>
      </c>
      <c r="L133" s="51">
        <v>176</v>
      </c>
      <c r="M133" s="52">
        <f t="shared" ref="M133:M138" si="63">L133-82</f>
        <v>94</v>
      </c>
      <c r="N133" s="5"/>
      <c r="O133" s="5"/>
    </row>
    <row r="134" spans="4:15" ht="15.75">
      <c r="D134" s="22" t="b">
        <f>AND($D$1=2,$D$7=1,'Simulazione 5.5'!$C$3&lt;=20,'Simulazione 5.5'!$C$3&gt;3)</f>
        <v>0</v>
      </c>
      <c r="E134" s="28" t="s">
        <v>7</v>
      </c>
      <c r="F134" s="51">
        <v>171</v>
      </c>
      <c r="G134" s="52">
        <f t="shared" si="60"/>
        <v>89</v>
      </c>
      <c r="H134" s="116">
        <f t="shared" si="61"/>
        <v>0</v>
      </c>
      <c r="I134" s="116">
        <f t="shared" si="62"/>
        <v>0</v>
      </c>
      <c r="J134" s="22"/>
      <c r="K134" s="28" t="s">
        <v>7</v>
      </c>
      <c r="L134" s="51">
        <v>165</v>
      </c>
      <c r="M134" s="52">
        <f t="shared" si="63"/>
        <v>83</v>
      </c>
      <c r="N134" s="5"/>
      <c r="O134" s="5"/>
    </row>
    <row r="135" spans="4:15" ht="15.75">
      <c r="D135" s="22" t="b">
        <f>AND($D$1=2,$D$7=1,'Simulazione 5.5'!$C$3&lt;=200,'Simulazione 5.5'!$C$3&gt;20)</f>
        <v>0</v>
      </c>
      <c r="E135" s="28" t="s">
        <v>8</v>
      </c>
      <c r="F135" s="51">
        <v>157</v>
      </c>
      <c r="G135" s="52">
        <f t="shared" si="60"/>
        <v>75</v>
      </c>
      <c r="H135" s="116">
        <f t="shared" si="61"/>
        <v>0</v>
      </c>
      <c r="I135" s="116">
        <f t="shared" si="62"/>
        <v>0</v>
      </c>
      <c r="J135" s="22"/>
      <c r="K135" s="28" t="s">
        <v>8</v>
      </c>
      <c r="L135" s="51">
        <v>151</v>
      </c>
      <c r="M135" s="52">
        <f t="shared" si="63"/>
        <v>69</v>
      </c>
      <c r="N135" s="5"/>
      <c r="O135" s="5"/>
    </row>
    <row r="136" spans="4:15" ht="15.75">
      <c r="D136" s="22" t="b">
        <f>AND($D$1=2,$D$7=1,'Simulazione 5.5'!$C$3&lt;=1000,'Simulazione 5.5'!$C$3&gt;200)</f>
        <v>0</v>
      </c>
      <c r="E136" s="28" t="s">
        <v>9</v>
      </c>
      <c r="F136" s="47">
        <v>130</v>
      </c>
      <c r="G136" s="48">
        <f t="shared" si="60"/>
        <v>48</v>
      </c>
      <c r="H136" s="116">
        <f t="shared" si="61"/>
        <v>0</v>
      </c>
      <c r="I136" s="116">
        <f t="shared" si="62"/>
        <v>0</v>
      </c>
      <c r="J136" s="22"/>
      <c r="K136" s="28" t="s">
        <v>9</v>
      </c>
      <c r="L136" s="47">
        <v>124</v>
      </c>
      <c r="M136" s="48">
        <f t="shared" si="63"/>
        <v>42</v>
      </c>
      <c r="N136" s="5"/>
      <c r="O136" s="5"/>
    </row>
    <row r="137" spans="4:15" ht="15.75">
      <c r="D137" s="22" t="b">
        <f>AND($D$1=2,$D$7=1,'Simulazione 5.5'!$C$3&lt;=5000,'Simulazione 5.5'!$C$3&gt;1000)</f>
        <v>0</v>
      </c>
      <c r="E137" s="28" t="s">
        <v>10</v>
      </c>
      <c r="F137" s="51">
        <v>118</v>
      </c>
      <c r="G137" s="52">
        <f t="shared" si="60"/>
        <v>36</v>
      </c>
      <c r="H137" s="116">
        <f t="shared" si="61"/>
        <v>0</v>
      </c>
      <c r="I137" s="116">
        <f t="shared" si="62"/>
        <v>0</v>
      </c>
      <c r="J137" s="22"/>
      <c r="K137" s="28" t="s">
        <v>10</v>
      </c>
      <c r="L137" s="51">
        <v>113</v>
      </c>
      <c r="M137" s="52">
        <f t="shared" si="63"/>
        <v>31</v>
      </c>
      <c r="N137" s="5"/>
      <c r="O137" s="5"/>
    </row>
    <row r="138" spans="4:15" ht="16.5" thickBot="1">
      <c r="D138" s="29" t="b">
        <f>AND($D$1=2,$D$7=1,'Simulazione 5.5'!$C$3&gt;=5000)</f>
        <v>0</v>
      </c>
      <c r="E138" s="35" t="s">
        <v>11</v>
      </c>
      <c r="F138" s="57">
        <v>112</v>
      </c>
      <c r="G138" s="58">
        <f t="shared" si="60"/>
        <v>30</v>
      </c>
      <c r="H138" s="116">
        <f t="shared" si="61"/>
        <v>0</v>
      </c>
      <c r="I138" s="116">
        <f t="shared" si="62"/>
        <v>0</v>
      </c>
      <c r="J138" s="29"/>
      <c r="K138" s="35" t="s">
        <v>11</v>
      </c>
      <c r="L138" s="57">
        <v>106</v>
      </c>
      <c r="M138" s="58">
        <f t="shared" si="63"/>
        <v>24</v>
      </c>
      <c r="N138" s="5"/>
      <c r="O138" s="5"/>
    </row>
    <row r="139" spans="4:15" ht="16.5" thickBot="1">
      <c r="D139" s="50"/>
      <c r="E139" s="50"/>
      <c r="F139" s="53"/>
      <c r="G139" s="53"/>
      <c r="H139" s="42">
        <f>IF($H$9=3,H133+H134+H135+H136+H137+H138,0)</f>
        <v>0</v>
      </c>
      <c r="I139" s="42">
        <f>IF($H$9=3,I133+I134+I135+I136+I137+I138,0)</f>
        <v>0</v>
      </c>
      <c r="J139" s="50"/>
      <c r="K139" s="53"/>
      <c r="L139" s="53"/>
      <c r="M139" s="53"/>
      <c r="N139" s="51"/>
      <c r="O139" s="51"/>
    </row>
    <row r="140" spans="4:15" ht="15.7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11"/>
      <c r="O140" s="11"/>
    </row>
    <row r="141" spans="4:15" ht="16.5" thickBot="1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11"/>
      <c r="O141" s="11"/>
    </row>
    <row r="142" spans="4:15" ht="15.75">
      <c r="D142" s="87"/>
      <c r="E142" s="88"/>
      <c r="F142" s="89" t="s">
        <v>2</v>
      </c>
      <c r="G142" s="90" t="s">
        <v>3</v>
      </c>
      <c r="H142" s="49"/>
      <c r="I142" s="49"/>
      <c r="J142" s="87"/>
      <c r="K142" s="88"/>
      <c r="L142" s="89" t="s">
        <v>2</v>
      </c>
      <c r="M142" s="90" t="s">
        <v>3</v>
      </c>
      <c r="N142" s="47"/>
      <c r="O142" s="47"/>
    </row>
    <row r="143" spans="4:15" ht="15.75">
      <c r="D143" s="22" t="b">
        <f>AND($D$1=3,$D$7=1,'Simulazione 5.5'!$C$3&lt;=3,'Simulazione 5.5'!$C$3&gt;=1)</f>
        <v>0</v>
      </c>
      <c r="E143" s="28" t="s">
        <v>6</v>
      </c>
      <c r="F143" s="51">
        <v>157</v>
      </c>
      <c r="G143" s="52">
        <f t="shared" ref="G143:G148" si="64">F143-82</f>
        <v>75</v>
      </c>
      <c r="H143" s="116">
        <f t="shared" ref="H143:H148" si="65">IF(D143=TRUE,(F143+L143)/2,0)</f>
        <v>0</v>
      </c>
      <c r="I143" s="116">
        <f t="shared" ref="I143:I148" si="66">IF(D143=TRUE,(G143+M143)/2,0)</f>
        <v>0</v>
      </c>
      <c r="J143" s="22"/>
      <c r="K143" s="28" t="s">
        <v>6</v>
      </c>
      <c r="L143" s="51">
        <v>152</v>
      </c>
      <c r="M143" s="52">
        <f t="shared" ref="M143:M148" si="67">L143-82</f>
        <v>70</v>
      </c>
      <c r="N143" s="5"/>
      <c r="O143" s="5"/>
    </row>
    <row r="144" spans="4:15" ht="15.75">
      <c r="D144" s="22" t="b">
        <f>AND($D$1=3,$D$7=1,'Simulazione 5.5'!$C$3&lt;=20,'Simulazione 5.5'!$C$3&gt;3)</f>
        <v>0</v>
      </c>
      <c r="E144" s="28" t="s">
        <v>7</v>
      </c>
      <c r="F144" s="51">
        <v>149</v>
      </c>
      <c r="G144" s="52">
        <f t="shared" si="64"/>
        <v>67</v>
      </c>
      <c r="H144" s="116">
        <f t="shared" si="65"/>
        <v>0</v>
      </c>
      <c r="I144" s="116">
        <f t="shared" si="66"/>
        <v>0</v>
      </c>
      <c r="J144" s="22"/>
      <c r="K144" s="28" t="s">
        <v>7</v>
      </c>
      <c r="L144" s="51">
        <v>144</v>
      </c>
      <c r="M144" s="52">
        <f t="shared" si="67"/>
        <v>62</v>
      </c>
      <c r="N144" s="5"/>
      <c r="O144" s="5"/>
    </row>
    <row r="145" spans="4:15" ht="15.75">
      <c r="D145" s="22" t="b">
        <f>AND($D$1=3,$D$7=1,'Simulazione 5.5'!$C$3&lt;=200,'Simulazione 5.5'!$C$3&gt;20)</f>
        <v>0</v>
      </c>
      <c r="E145" s="28" t="s">
        <v>8</v>
      </c>
      <c r="F145" s="51">
        <v>141</v>
      </c>
      <c r="G145" s="52">
        <f t="shared" si="64"/>
        <v>59</v>
      </c>
      <c r="H145" s="116">
        <f t="shared" si="65"/>
        <v>0</v>
      </c>
      <c r="I145" s="116">
        <f t="shared" si="66"/>
        <v>0</v>
      </c>
      <c r="J145" s="22"/>
      <c r="K145" s="28" t="s">
        <v>8</v>
      </c>
      <c r="L145" s="51">
        <v>136</v>
      </c>
      <c r="M145" s="52">
        <f t="shared" si="67"/>
        <v>54</v>
      </c>
      <c r="N145" s="5"/>
      <c r="O145" s="5"/>
    </row>
    <row r="146" spans="4:15" ht="15.75">
      <c r="D146" s="22" t="b">
        <f>AND($D$1=3,$D$7=1,'Simulazione 5.5'!$C$3&lt;=1000,'Simulazione 5.5'!$C$3&gt;200)</f>
        <v>0</v>
      </c>
      <c r="E146" s="28" t="s">
        <v>9</v>
      </c>
      <c r="F146" s="47">
        <v>118</v>
      </c>
      <c r="G146" s="48">
        <f t="shared" si="64"/>
        <v>36</v>
      </c>
      <c r="H146" s="116">
        <f t="shared" si="65"/>
        <v>0</v>
      </c>
      <c r="I146" s="116">
        <f t="shared" si="66"/>
        <v>0</v>
      </c>
      <c r="J146" s="22"/>
      <c r="K146" s="28" t="s">
        <v>9</v>
      </c>
      <c r="L146" s="47">
        <v>113</v>
      </c>
      <c r="M146" s="48">
        <f t="shared" si="67"/>
        <v>31</v>
      </c>
      <c r="N146" s="5"/>
      <c r="O146" s="5"/>
    </row>
    <row r="147" spans="4:15" ht="15.75">
      <c r="D147" s="22" t="b">
        <f>AND($D$1=3,$D$7=1,'Simulazione 5.5'!$C$3&lt;=5000,'Simulazione 5.5'!$C$3&gt;1000)</f>
        <v>0</v>
      </c>
      <c r="E147" s="28" t="s">
        <v>10</v>
      </c>
      <c r="F147" s="51">
        <v>110</v>
      </c>
      <c r="G147" s="52">
        <f t="shared" si="64"/>
        <v>28</v>
      </c>
      <c r="H147" s="116">
        <f t="shared" si="65"/>
        <v>0</v>
      </c>
      <c r="I147" s="116">
        <f t="shared" si="66"/>
        <v>0</v>
      </c>
      <c r="J147" s="22"/>
      <c r="K147" s="28" t="s">
        <v>10</v>
      </c>
      <c r="L147" s="51">
        <v>106</v>
      </c>
      <c r="M147" s="52">
        <f t="shared" si="67"/>
        <v>24</v>
      </c>
      <c r="N147" s="5"/>
      <c r="O147" s="5"/>
    </row>
    <row r="148" spans="4:15" ht="16.5" thickBot="1">
      <c r="D148" s="29" t="b">
        <f>AND($D$1=3,$D$7=1,'Simulazione 5.5'!$C$3&gt;=5000)</f>
        <v>0</v>
      </c>
      <c r="E148" s="35" t="s">
        <v>11</v>
      </c>
      <c r="F148" s="57">
        <v>104</v>
      </c>
      <c r="G148" s="58">
        <f t="shared" si="64"/>
        <v>22</v>
      </c>
      <c r="H148" s="116">
        <f t="shared" si="65"/>
        <v>0</v>
      </c>
      <c r="I148" s="116">
        <f t="shared" si="66"/>
        <v>0</v>
      </c>
      <c r="J148" s="29"/>
      <c r="K148" s="35" t="s">
        <v>11</v>
      </c>
      <c r="L148" s="57">
        <v>99</v>
      </c>
      <c r="M148" s="58">
        <f t="shared" si="67"/>
        <v>17</v>
      </c>
      <c r="N148" s="5"/>
      <c r="O148" s="5"/>
    </row>
    <row r="149" spans="4:15" ht="16.5" thickBot="1">
      <c r="D149" s="50"/>
      <c r="E149" s="50"/>
      <c r="F149" s="53"/>
      <c r="G149" s="53"/>
      <c r="H149" s="42">
        <f>IF($H$9=3,H143+H144+H145+H146+H147+H148,0)</f>
        <v>0</v>
      </c>
      <c r="I149" s="42">
        <f>IF($H$9=3,I143+I144+I145+I146+I147+I148,0)</f>
        <v>0</v>
      </c>
      <c r="J149" s="50"/>
      <c r="K149" s="53"/>
      <c r="L149" s="53"/>
      <c r="M149" s="53"/>
      <c r="N149" s="51"/>
      <c r="O149" s="51"/>
    </row>
    <row r="150" spans="4:15">
      <c r="D150" s="2"/>
      <c r="E150" s="2"/>
      <c r="F150" s="5"/>
      <c r="G150" s="5"/>
      <c r="H150" s="5"/>
      <c r="I150" s="5"/>
      <c r="J150" s="2"/>
      <c r="K150" s="5"/>
      <c r="L150" s="5"/>
      <c r="M150" s="5"/>
      <c r="N150" s="5"/>
      <c r="O150" s="5"/>
    </row>
    <row r="151" spans="4:15">
      <c r="N151" s="2"/>
      <c r="O151" s="2"/>
    </row>
    <row r="152" spans="4:15">
      <c r="N152" s="2"/>
      <c r="O152" s="2"/>
    </row>
    <row r="153" spans="4:15" ht="15.75" thickBot="1">
      <c r="N153" s="2"/>
      <c r="O153" s="2"/>
    </row>
    <row r="154" spans="4:15" ht="15.75">
      <c r="D154" s="87"/>
      <c r="E154" s="88"/>
      <c r="F154" s="89" t="s">
        <v>2</v>
      </c>
      <c r="G154" s="90" t="s">
        <v>3</v>
      </c>
      <c r="H154" s="49"/>
      <c r="I154" s="49"/>
      <c r="J154" s="87"/>
      <c r="K154" s="88"/>
      <c r="L154" s="89" t="s">
        <v>2</v>
      </c>
      <c r="M154" s="90" t="s">
        <v>3</v>
      </c>
      <c r="N154" s="47"/>
      <c r="O154" s="47"/>
    </row>
    <row r="155" spans="4:15" ht="15.75">
      <c r="D155" s="22" t="b">
        <f>AND($D$1=4,$D$7=1,'Simulazione 5.5'!$C$3&lt;=3,'Simulazione 5.5'!$C$3&gt;=1)</f>
        <v>0</v>
      </c>
      <c r="E155" s="28" t="s">
        <v>6</v>
      </c>
      <c r="F155" s="51">
        <v>144</v>
      </c>
      <c r="G155" s="52">
        <f t="shared" ref="G155:G160" si="68">F155-82</f>
        <v>62</v>
      </c>
      <c r="H155" s="116">
        <f t="shared" ref="H155:H160" si="69">IF(D155=TRUE,(F155+L155)/2,0)</f>
        <v>0</v>
      </c>
      <c r="I155" s="116">
        <f t="shared" ref="I155:I160" si="70">IF(D155=TRUE,(G155+M155)/2,0)</f>
        <v>0</v>
      </c>
      <c r="J155" s="22"/>
      <c r="K155" s="28" t="s">
        <v>6</v>
      </c>
      <c r="L155" s="51">
        <v>140</v>
      </c>
      <c r="M155" s="52">
        <f t="shared" ref="M155:M160" si="71">L155-82</f>
        <v>58</v>
      </c>
      <c r="N155" s="5"/>
      <c r="O155" s="5"/>
    </row>
    <row r="156" spans="4:15" ht="15.75">
      <c r="D156" s="22" t="b">
        <f>AND($D$1=4,$D$7=1,'Simulazione 5.5'!$C$3&lt;=20,'Simulazione 5.5'!$C$3&gt;3)</f>
        <v>0</v>
      </c>
      <c r="E156" s="28" t="s">
        <v>7</v>
      </c>
      <c r="F156" s="51">
        <v>137</v>
      </c>
      <c r="G156" s="52">
        <f t="shared" si="68"/>
        <v>55</v>
      </c>
      <c r="H156" s="116">
        <f t="shared" si="69"/>
        <v>0</v>
      </c>
      <c r="I156" s="116">
        <f t="shared" si="70"/>
        <v>0</v>
      </c>
      <c r="J156" s="22"/>
      <c r="K156" s="28" t="s">
        <v>7</v>
      </c>
      <c r="L156" s="51">
        <v>133</v>
      </c>
      <c r="M156" s="52">
        <f t="shared" si="71"/>
        <v>51</v>
      </c>
      <c r="N156" s="5"/>
      <c r="O156" s="5"/>
    </row>
    <row r="157" spans="4:15" ht="15.75">
      <c r="D157" s="22" t="b">
        <f>AND($D$1=4,$D$7=1,'Simulazione 5.5'!$C$3&lt;=200,'Simulazione 5.5'!$C$3&gt;20)</f>
        <v>0</v>
      </c>
      <c r="E157" s="28" t="s">
        <v>8</v>
      </c>
      <c r="F157" s="51">
        <v>131</v>
      </c>
      <c r="G157" s="52">
        <f t="shared" si="68"/>
        <v>49</v>
      </c>
      <c r="H157" s="116">
        <f t="shared" si="69"/>
        <v>0</v>
      </c>
      <c r="I157" s="116">
        <f t="shared" si="70"/>
        <v>0</v>
      </c>
      <c r="J157" s="22"/>
      <c r="K157" s="28" t="s">
        <v>8</v>
      </c>
      <c r="L157" s="51">
        <v>126</v>
      </c>
      <c r="M157" s="52">
        <f t="shared" si="71"/>
        <v>44</v>
      </c>
      <c r="N157" s="5"/>
      <c r="O157" s="5"/>
    </row>
    <row r="158" spans="4:15" ht="15.75">
      <c r="D158" s="22" t="b">
        <f>AND($D$1=4,$D$7=1,'Simulazione 5.5'!$C$3&lt;=1000,'Simulazione 5.5'!$C$3&gt;200)</f>
        <v>0</v>
      </c>
      <c r="E158" s="28" t="s">
        <v>9</v>
      </c>
      <c r="F158" s="47">
        <v>111</v>
      </c>
      <c r="G158" s="48">
        <f t="shared" si="68"/>
        <v>29</v>
      </c>
      <c r="H158" s="116">
        <f t="shared" si="69"/>
        <v>0</v>
      </c>
      <c r="I158" s="116">
        <f t="shared" si="70"/>
        <v>0</v>
      </c>
      <c r="J158" s="22"/>
      <c r="K158" s="28" t="s">
        <v>9</v>
      </c>
      <c r="L158" s="47">
        <v>107</v>
      </c>
      <c r="M158" s="48">
        <f t="shared" si="71"/>
        <v>25</v>
      </c>
      <c r="N158" s="5"/>
      <c r="O158" s="5"/>
    </row>
    <row r="159" spans="4:15" ht="15.75">
      <c r="D159" s="22" t="b">
        <f>AND($D$1=4,$D$7=1,'Simulazione 5.5'!$C$3&lt;=5000,'Simulazione 5.5'!$C$3&gt;1000)</f>
        <v>0</v>
      </c>
      <c r="E159" s="28" t="s">
        <v>10</v>
      </c>
      <c r="F159" s="51">
        <v>105</v>
      </c>
      <c r="G159" s="52">
        <f t="shared" si="68"/>
        <v>23</v>
      </c>
      <c r="H159" s="116">
        <f t="shared" si="69"/>
        <v>0</v>
      </c>
      <c r="I159" s="116">
        <f t="shared" si="70"/>
        <v>0</v>
      </c>
      <c r="J159" s="22"/>
      <c r="K159" s="28" t="s">
        <v>10</v>
      </c>
      <c r="L159" s="51">
        <v>101</v>
      </c>
      <c r="M159" s="52">
        <f t="shared" si="71"/>
        <v>19</v>
      </c>
      <c r="N159" s="5"/>
      <c r="O159" s="5"/>
    </row>
    <row r="160" spans="4:15" ht="16.5" thickBot="1">
      <c r="D160" s="29" t="b">
        <f>AND($D$1=4,$D$7=1,'Simulazione 5.5'!$C$3&gt;=5000)</f>
        <v>0</v>
      </c>
      <c r="E160" s="35" t="s">
        <v>11</v>
      </c>
      <c r="F160" s="57">
        <v>99</v>
      </c>
      <c r="G160" s="58">
        <f t="shared" si="68"/>
        <v>17</v>
      </c>
      <c r="H160" s="116">
        <f t="shared" si="69"/>
        <v>0</v>
      </c>
      <c r="I160" s="116">
        <f t="shared" si="70"/>
        <v>0</v>
      </c>
      <c r="J160" s="29"/>
      <c r="K160" s="35" t="s">
        <v>11</v>
      </c>
      <c r="L160" s="57">
        <v>95</v>
      </c>
      <c r="M160" s="58">
        <f t="shared" si="71"/>
        <v>13</v>
      </c>
      <c r="N160" s="5"/>
      <c r="O160" s="5"/>
    </row>
    <row r="161" spans="4:15" ht="16.5" thickBot="1">
      <c r="D161" s="50"/>
      <c r="E161" s="50"/>
      <c r="F161" s="53"/>
      <c r="G161" s="53"/>
      <c r="H161" s="42">
        <f>IF($H$9=3,H155+H156+H157+H158+H159+H160,0)</f>
        <v>0</v>
      </c>
      <c r="I161" s="42">
        <f>IF($H$9=3,I155+I156+I157+I158+I159+I160,0)</f>
        <v>0</v>
      </c>
      <c r="J161" s="50"/>
      <c r="K161" s="53"/>
      <c r="L161" s="53"/>
      <c r="M161" s="53"/>
      <c r="N161" s="51"/>
      <c r="O161" s="51"/>
    </row>
    <row r="162" spans="4:15">
      <c r="D162" s="2"/>
      <c r="E162" s="28"/>
      <c r="F162" s="5"/>
      <c r="G162" s="5"/>
      <c r="H162" s="5"/>
      <c r="I162" s="5"/>
      <c r="J162" s="2"/>
      <c r="K162" s="28"/>
      <c r="L162" s="5"/>
      <c r="M162" s="5"/>
      <c r="N162" s="5"/>
      <c r="O162" s="5"/>
    </row>
    <row r="163" spans="4:15">
      <c r="D163" s="2"/>
      <c r="E163" s="28"/>
      <c r="F163" s="5"/>
      <c r="G163" s="5"/>
      <c r="H163" s="5"/>
      <c r="I163" s="5"/>
      <c r="J163" s="2"/>
      <c r="K163" s="28"/>
      <c r="L163" s="5"/>
      <c r="M163" s="5"/>
      <c r="N163" s="5"/>
      <c r="O163" s="5"/>
    </row>
    <row r="164" spans="4:15">
      <c r="D164" s="2"/>
      <c r="E164" s="2"/>
      <c r="F164" s="5"/>
      <c r="G164" s="5"/>
      <c r="H164" s="5"/>
      <c r="I164" s="5"/>
      <c r="J164" s="2"/>
      <c r="K164" s="5"/>
      <c r="L164" s="5"/>
      <c r="M164" s="5"/>
      <c r="N164" s="5"/>
      <c r="O164" s="5"/>
    </row>
    <row r="165" spans="4:1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4:15">
      <c r="N166" s="2"/>
      <c r="O166" s="2"/>
    </row>
    <row r="167" spans="4:15" ht="15.75" thickBot="1">
      <c r="N167" s="2"/>
      <c r="O167" s="2"/>
    </row>
    <row r="168" spans="4:15" ht="15.75">
      <c r="D168" s="87"/>
      <c r="E168" s="88"/>
      <c r="F168" s="89" t="s">
        <v>2</v>
      </c>
      <c r="G168" s="90" t="s">
        <v>3</v>
      </c>
      <c r="H168" s="49"/>
      <c r="I168" s="49"/>
      <c r="J168" s="87"/>
      <c r="K168" s="88"/>
      <c r="L168" s="89" t="s">
        <v>2</v>
      </c>
      <c r="M168" s="90" t="s">
        <v>3</v>
      </c>
      <c r="N168" s="47"/>
      <c r="O168" s="47"/>
    </row>
    <row r="169" spans="4:15" ht="15.75">
      <c r="D169" s="22" t="b">
        <f>AND($D$1=5,$D$7=1,'Simulazione 5.5'!$C$3&lt;=3,'Simulazione 5.5'!$C$3&gt;=1)</f>
        <v>0</v>
      </c>
      <c r="E169" s="28" t="s">
        <v>6</v>
      </c>
      <c r="F169" s="51">
        <v>133</v>
      </c>
      <c r="G169" s="52">
        <f t="shared" ref="G169:G174" si="72">F169-82</f>
        <v>51</v>
      </c>
      <c r="H169" s="53">
        <f t="shared" ref="H169:H174" si="73">IF(D169=TRUE,F169,0)</f>
        <v>0</v>
      </c>
      <c r="I169" s="116">
        <f t="shared" ref="I169:I174" si="74">IF(D169=TRUE,(G169+M169)/2,0)</f>
        <v>0</v>
      </c>
      <c r="J169" s="22"/>
      <c r="K169" s="28" t="s">
        <v>6</v>
      </c>
      <c r="L169" s="51">
        <v>130</v>
      </c>
      <c r="M169" s="52">
        <f t="shared" ref="M169:M174" si="75">L169-82</f>
        <v>48</v>
      </c>
      <c r="N169" s="5"/>
      <c r="O169" s="5"/>
    </row>
    <row r="170" spans="4:15" ht="15.75">
      <c r="D170" s="22" t="b">
        <f>AND($D$1=5,$D$7=1,'Simulazione 5.5'!$C$3&lt;=20,'Simulazione 5.5'!$C$3&gt;3)</f>
        <v>0</v>
      </c>
      <c r="E170" s="28" t="s">
        <v>7</v>
      </c>
      <c r="F170" s="51">
        <v>128</v>
      </c>
      <c r="G170" s="52">
        <f t="shared" si="72"/>
        <v>46</v>
      </c>
      <c r="H170" s="53">
        <f t="shared" si="73"/>
        <v>0</v>
      </c>
      <c r="I170" s="116">
        <f t="shared" si="74"/>
        <v>0</v>
      </c>
      <c r="J170" s="22"/>
      <c r="K170" s="28" t="s">
        <v>7</v>
      </c>
      <c r="L170" s="51">
        <v>124</v>
      </c>
      <c r="M170" s="52">
        <f t="shared" si="75"/>
        <v>42</v>
      </c>
      <c r="N170" s="5"/>
      <c r="O170" s="5"/>
    </row>
    <row r="171" spans="4:15" ht="15.75">
      <c r="D171" s="22" t="b">
        <f>AND($D$1=5,$D$7=1,'Simulazione 5.5'!$C$3&lt;=200,'Simulazione 5.5'!$C$3&gt;20)</f>
        <v>0</v>
      </c>
      <c r="E171" s="28" t="s">
        <v>8</v>
      </c>
      <c r="F171" s="51">
        <v>122</v>
      </c>
      <c r="G171" s="52">
        <f t="shared" si="72"/>
        <v>40</v>
      </c>
      <c r="H171" s="53">
        <f t="shared" si="73"/>
        <v>0</v>
      </c>
      <c r="I171" s="116">
        <f t="shared" si="74"/>
        <v>0</v>
      </c>
      <c r="J171" s="22"/>
      <c r="K171" s="28" t="s">
        <v>8</v>
      </c>
      <c r="L171" s="51">
        <v>118</v>
      </c>
      <c r="M171" s="52">
        <f t="shared" si="75"/>
        <v>36</v>
      </c>
      <c r="N171" s="5"/>
      <c r="O171" s="5"/>
    </row>
    <row r="172" spans="4:15" ht="15.75">
      <c r="D172" s="22" t="b">
        <f>AND($D$1=5,$D$7=1,'Simulazione 5.5'!$C$3&lt;=1000,'Simulazione 5.5'!$C$3&gt;200)</f>
        <v>0</v>
      </c>
      <c r="E172" s="28" t="s">
        <v>9</v>
      </c>
      <c r="F172" s="47">
        <v>106</v>
      </c>
      <c r="G172" s="48">
        <f t="shared" si="72"/>
        <v>24</v>
      </c>
      <c r="H172" s="49">
        <f t="shared" si="73"/>
        <v>0</v>
      </c>
      <c r="I172" s="116">
        <f t="shared" si="74"/>
        <v>0</v>
      </c>
      <c r="J172" s="22"/>
      <c r="K172" s="28" t="s">
        <v>9</v>
      </c>
      <c r="L172" s="47">
        <v>102</v>
      </c>
      <c r="M172" s="48">
        <f t="shared" si="75"/>
        <v>20</v>
      </c>
      <c r="N172" s="5"/>
      <c r="O172" s="5"/>
    </row>
    <row r="173" spans="4:15" ht="15.75">
      <c r="D173" s="22" t="b">
        <f>AND($D$1=5,$D$7=1,'Simulazione 5.5'!$C$3&lt;=5000,'Simulazione 5.5'!$C$3&gt;1000)</f>
        <v>0</v>
      </c>
      <c r="E173" s="28" t="s">
        <v>10</v>
      </c>
      <c r="F173" s="51">
        <v>100</v>
      </c>
      <c r="G173" s="52">
        <f t="shared" si="72"/>
        <v>18</v>
      </c>
      <c r="H173" s="53">
        <f t="shared" si="73"/>
        <v>0</v>
      </c>
      <c r="I173" s="116">
        <f t="shared" si="74"/>
        <v>0</v>
      </c>
      <c r="J173" s="22"/>
      <c r="K173" s="28" t="s">
        <v>10</v>
      </c>
      <c r="L173" s="51">
        <v>97</v>
      </c>
      <c r="M173" s="52">
        <f t="shared" si="75"/>
        <v>15</v>
      </c>
      <c r="N173" s="5"/>
      <c r="O173" s="5"/>
    </row>
    <row r="174" spans="4:15" ht="16.5" thickBot="1">
      <c r="D174" s="29" t="b">
        <f>AND($D$1=5,$D$7=1,'Simulazione 5.5'!$C$3&gt;=5000)</f>
        <v>0</v>
      </c>
      <c r="E174" s="35" t="s">
        <v>11</v>
      </c>
      <c r="F174" s="57">
        <v>95</v>
      </c>
      <c r="G174" s="58">
        <f t="shared" si="72"/>
        <v>13</v>
      </c>
      <c r="H174" s="53">
        <f t="shared" si="73"/>
        <v>0</v>
      </c>
      <c r="I174" s="116">
        <f t="shared" si="74"/>
        <v>0</v>
      </c>
      <c r="J174" s="29"/>
      <c r="K174" s="35" t="s">
        <v>11</v>
      </c>
      <c r="L174" s="57">
        <v>92</v>
      </c>
      <c r="M174" s="58">
        <f t="shared" si="75"/>
        <v>10</v>
      </c>
      <c r="N174" s="5"/>
      <c r="O174" s="5"/>
    </row>
    <row r="175" spans="4:15" ht="16.5" thickBot="1">
      <c r="D175" s="50"/>
      <c r="E175" s="50"/>
      <c r="F175" s="53"/>
      <c r="G175" s="53"/>
      <c r="H175" s="42">
        <f>IF($H$9=3,H169+H170+H171+H172+H173+H174,0)</f>
        <v>0</v>
      </c>
      <c r="I175" s="42">
        <f>IF($H$9=3,I169+I170+I171+I172+I173+I174,0)</f>
        <v>0</v>
      </c>
      <c r="J175" s="53"/>
      <c r="K175" s="53"/>
      <c r="L175" s="53"/>
      <c r="M175" s="53"/>
      <c r="N175" s="51"/>
      <c r="O175" s="51"/>
    </row>
    <row r="176" spans="4:15">
      <c r="N176" s="2"/>
      <c r="O176" s="2"/>
    </row>
    <row r="177" spans="4:15">
      <c r="N177" s="2"/>
      <c r="O177" s="2"/>
    </row>
    <row r="178" spans="4:15">
      <c r="N178" s="2"/>
      <c r="O178" s="2"/>
    </row>
    <row r="179" spans="4:15">
      <c r="D179" s="209" t="s">
        <v>126</v>
      </c>
      <c r="E179" s="209"/>
      <c r="F179" s="209"/>
      <c r="N179" s="2"/>
      <c r="O179" s="2"/>
    </row>
    <row r="180" spans="4:15">
      <c r="N180" s="2"/>
      <c r="O180" s="2"/>
    </row>
    <row r="181" spans="4:15" ht="15.75" thickBot="1">
      <c r="J181" s="2"/>
      <c r="K181" s="2"/>
      <c r="L181" s="2"/>
      <c r="M181" s="2"/>
      <c r="N181" s="2"/>
      <c r="O181" s="2"/>
    </row>
    <row r="182" spans="4:15">
      <c r="D182" s="23"/>
      <c r="E182" s="15"/>
      <c r="F182" s="203" t="s">
        <v>4</v>
      </c>
      <c r="G182" s="204"/>
      <c r="H182" s="116"/>
      <c r="I182" s="116"/>
      <c r="J182" s="5"/>
      <c r="K182" s="2"/>
      <c r="L182" s="208"/>
      <c r="M182" s="208"/>
      <c r="N182" s="2"/>
      <c r="O182" s="2"/>
    </row>
    <row r="183" spans="4:15">
      <c r="D183" s="22"/>
      <c r="E183" s="2"/>
      <c r="F183" s="5" t="s">
        <v>2</v>
      </c>
      <c r="G183" s="26" t="s">
        <v>3</v>
      </c>
      <c r="H183" s="116"/>
      <c r="I183" s="116"/>
      <c r="J183" s="5"/>
      <c r="K183" s="2"/>
      <c r="L183" s="5"/>
      <c r="M183" s="5"/>
      <c r="N183" s="2"/>
      <c r="O183" s="2"/>
    </row>
    <row r="184" spans="4:15">
      <c r="D184" s="22" t="b">
        <f>AND($D$1=1,'Simulazione 5.5'!$C$3&lt;=20,'Simulazione 5.5'!$C$3&gt;=1)</f>
        <v>1</v>
      </c>
      <c r="E184" s="28" t="s">
        <v>128</v>
      </c>
      <c r="F184" s="5">
        <v>288</v>
      </c>
      <c r="G184" s="26">
        <v>186</v>
      </c>
      <c r="H184" s="116">
        <f>IF(D184=TRUE,F184,0)</f>
        <v>288</v>
      </c>
      <c r="I184" s="116">
        <f>IF(D184=TRUE,G184,0)</f>
        <v>186</v>
      </c>
      <c r="J184" s="2"/>
      <c r="K184" s="28"/>
      <c r="L184" s="5"/>
      <c r="M184" s="5"/>
      <c r="N184" s="2"/>
      <c r="O184" s="2"/>
    </row>
    <row r="185" spans="4:15">
      <c r="D185" s="22" t="b">
        <f>AND($D$1=1,'Simulazione 5.5'!$C$3&lt;=200,'Simulazione 5.5'!$C$3&gt;20)</f>
        <v>0</v>
      </c>
      <c r="E185" s="28" t="s">
        <v>8</v>
      </c>
      <c r="F185" s="5">
        <v>276</v>
      </c>
      <c r="G185" s="26">
        <v>174</v>
      </c>
      <c r="H185" s="116">
        <f t="shared" ref="H185:H186" si="76">IF(D185=TRUE,F185,0)</f>
        <v>0</v>
      </c>
      <c r="I185" s="116">
        <f>IF(D185=TRUE,G185,0)</f>
        <v>0</v>
      </c>
      <c r="J185" s="2"/>
      <c r="K185" s="28"/>
      <c r="L185" s="5"/>
      <c r="M185" s="5"/>
      <c r="N185" s="2"/>
      <c r="O185" s="2"/>
    </row>
    <row r="186" spans="4:15" ht="15.75" thickBot="1">
      <c r="D186" s="29" t="b">
        <f>AND($D$1=1,'Simulazione 5.5'!$C$3&gt;200)</f>
        <v>0</v>
      </c>
      <c r="E186" s="35" t="s">
        <v>129</v>
      </c>
      <c r="F186" s="36">
        <v>255</v>
      </c>
      <c r="G186" s="37">
        <v>153</v>
      </c>
      <c r="H186" s="116">
        <f t="shared" si="76"/>
        <v>0</v>
      </c>
      <c r="I186" s="116">
        <f>IF(D186=TRUE,G186,0)</f>
        <v>0</v>
      </c>
      <c r="J186" s="2"/>
      <c r="K186" s="28"/>
      <c r="L186" s="5"/>
      <c r="M186" s="5"/>
      <c r="N186" s="2"/>
      <c r="O186" s="2"/>
    </row>
    <row r="187" spans="4:15" ht="15.75" thickBot="1">
      <c r="F187" s="116"/>
      <c r="G187" s="116"/>
      <c r="H187" s="42">
        <f>IF($H$9=2,H184+H185+H186,0)</f>
        <v>0</v>
      </c>
      <c r="I187" s="42">
        <f>IF($H$9=2,I184+I185+I186,0)</f>
        <v>0</v>
      </c>
      <c r="J187" s="2"/>
      <c r="K187" s="5"/>
      <c r="L187" s="5"/>
      <c r="M187" s="5"/>
      <c r="N187" s="2"/>
      <c r="O187" s="2"/>
    </row>
    <row r="188" spans="4:15" ht="15.75" thickBot="1">
      <c r="J188" s="2"/>
      <c r="K188" s="2"/>
      <c r="L188" s="2"/>
      <c r="M188" s="2"/>
      <c r="N188" s="2"/>
      <c r="O188" s="2"/>
    </row>
    <row r="189" spans="4:15">
      <c r="D189" s="23"/>
      <c r="E189" s="15"/>
      <c r="F189" s="203" t="s">
        <v>4</v>
      </c>
      <c r="G189" s="204"/>
      <c r="H189" s="116"/>
      <c r="I189" s="116"/>
      <c r="J189" s="2"/>
      <c r="K189" s="2"/>
      <c r="L189" s="2"/>
      <c r="M189" s="2"/>
      <c r="N189" s="2"/>
      <c r="O189" s="2"/>
    </row>
    <row r="190" spans="4:15">
      <c r="D190" s="22"/>
      <c r="E190" s="2"/>
      <c r="F190" s="5" t="s">
        <v>2</v>
      </c>
      <c r="G190" s="26" t="s">
        <v>3</v>
      </c>
      <c r="H190" s="116"/>
      <c r="I190" s="116"/>
      <c r="J190" s="2"/>
      <c r="K190" s="2"/>
      <c r="L190" s="2"/>
      <c r="M190" s="2"/>
      <c r="N190" s="2"/>
      <c r="O190" s="2"/>
    </row>
    <row r="191" spans="4:15">
      <c r="D191" s="22" t="b">
        <f>AND($D$1=2,'Simulazione 5.5'!$C$3&lt;=20,'Simulazione 5.5'!$C$3&gt;=1)</f>
        <v>0</v>
      </c>
      <c r="E191" s="28" t="s">
        <v>128</v>
      </c>
      <c r="F191" s="5">
        <v>242</v>
      </c>
      <c r="G191" s="26">
        <v>160</v>
      </c>
      <c r="H191" s="116">
        <f t="shared" ref="H191:H193" si="77">IF(D191=TRUE,F191,0)</f>
        <v>0</v>
      </c>
      <c r="I191" s="116">
        <f t="shared" ref="I191:I193" si="78">IF(D191=TRUE,G191,0)</f>
        <v>0</v>
      </c>
      <c r="J191" s="2"/>
      <c r="K191" s="2"/>
      <c r="L191" s="2"/>
      <c r="M191" s="2"/>
      <c r="N191" s="2"/>
      <c r="O191" s="2"/>
    </row>
    <row r="192" spans="4:15">
      <c r="D192" s="22" t="b">
        <f>AND($D$1=2,'Simulazione 5.5'!$C$3&lt;=200,'Simulazione 5.5'!$C$3&gt;20)</f>
        <v>0</v>
      </c>
      <c r="E192" s="28" t="s">
        <v>8</v>
      </c>
      <c r="F192" s="5">
        <v>231</v>
      </c>
      <c r="G192" s="26">
        <v>149</v>
      </c>
      <c r="H192" s="116">
        <f t="shared" si="77"/>
        <v>0</v>
      </c>
      <c r="I192" s="116">
        <f t="shared" si="78"/>
        <v>0</v>
      </c>
      <c r="J192" s="2"/>
      <c r="K192" s="2"/>
      <c r="L192" s="2"/>
      <c r="M192" s="2"/>
      <c r="N192" s="2"/>
      <c r="O192" s="2"/>
    </row>
    <row r="193" spans="4:15" ht="15.75" thickBot="1">
      <c r="D193" s="29" t="b">
        <f>AND($D$1=2,'Simulazione 5.5'!$C$3&gt;200)</f>
        <v>0</v>
      </c>
      <c r="E193" s="35" t="s">
        <v>129</v>
      </c>
      <c r="F193" s="36">
        <v>217</v>
      </c>
      <c r="G193" s="37">
        <v>135</v>
      </c>
      <c r="H193" s="116">
        <f t="shared" si="77"/>
        <v>0</v>
      </c>
      <c r="I193" s="116">
        <f t="shared" si="78"/>
        <v>0</v>
      </c>
      <c r="J193" s="2"/>
      <c r="K193" s="2"/>
      <c r="L193" s="2"/>
      <c r="M193" s="2"/>
      <c r="N193" s="2"/>
      <c r="O193" s="2"/>
    </row>
    <row r="194" spans="4:15" ht="15.75" thickBot="1">
      <c r="F194" s="116"/>
      <c r="G194" s="116"/>
      <c r="H194" s="42">
        <f>IF($H$9=2,H191+H192+H193,0)</f>
        <v>0</v>
      </c>
      <c r="I194" s="42">
        <f>IF($H$9=2,I191+I192+I193,0)</f>
        <v>0</v>
      </c>
      <c r="N194" s="2"/>
      <c r="O194" s="2"/>
    </row>
    <row r="195" spans="4:15">
      <c r="N195" s="2"/>
      <c r="O195" s="2"/>
    </row>
    <row r="196" spans="4:15" ht="15.75" thickBot="1">
      <c r="N196" s="2"/>
      <c r="O196" s="2"/>
    </row>
    <row r="197" spans="4:15">
      <c r="D197" s="23"/>
      <c r="E197" s="15"/>
      <c r="F197" s="203" t="s">
        <v>4</v>
      </c>
      <c r="G197" s="204"/>
      <c r="H197" s="116"/>
      <c r="I197" s="116"/>
      <c r="N197" s="2"/>
      <c r="O197" s="2"/>
    </row>
    <row r="198" spans="4:15">
      <c r="D198" s="22"/>
      <c r="E198" s="2"/>
      <c r="F198" s="5" t="s">
        <v>2</v>
      </c>
      <c r="G198" s="26" t="s">
        <v>3</v>
      </c>
      <c r="H198" s="116"/>
      <c r="I198" s="116"/>
    </row>
    <row r="199" spans="4:15">
      <c r="D199" s="22" t="b">
        <f>AND($D$1=3,'Simulazione 5.5'!$C$3&lt;=20,'Simulazione 5.5'!$C$3&gt;=1)</f>
        <v>0</v>
      </c>
      <c r="E199" s="28" t="s">
        <v>128</v>
      </c>
      <c r="F199" s="5">
        <v>218</v>
      </c>
      <c r="G199" s="26">
        <v>144</v>
      </c>
      <c r="H199" s="116">
        <f t="shared" ref="H199:H201" si="79">IF(D199=TRUE,F199,0)</f>
        <v>0</v>
      </c>
      <c r="I199" s="116">
        <f t="shared" ref="I199:I200" si="80">IF(D199=TRUE,G199,0)</f>
        <v>0</v>
      </c>
    </row>
    <row r="200" spans="4:15">
      <c r="D200" s="22" t="b">
        <f>AND($D$1=3,'Simulazione 5.5'!$C$3&lt;=200,'Simulazione 5.5'!$C$3&gt;20)</f>
        <v>0</v>
      </c>
      <c r="E200" s="28" t="s">
        <v>8</v>
      </c>
      <c r="F200" s="5">
        <v>208</v>
      </c>
      <c r="G200" s="26">
        <v>134</v>
      </c>
      <c r="H200" s="116">
        <f t="shared" si="79"/>
        <v>0</v>
      </c>
      <c r="I200" s="116">
        <f t="shared" si="80"/>
        <v>0</v>
      </c>
    </row>
    <row r="201" spans="4:15" ht="15.75" thickBot="1">
      <c r="D201" s="29" t="b">
        <f>AND($D$1=3,'Simulazione 5.5'!$C$3&gt;200)</f>
        <v>0</v>
      </c>
      <c r="E201" s="35" t="s">
        <v>129</v>
      </c>
      <c r="F201" s="36">
        <v>195</v>
      </c>
      <c r="G201" s="37">
        <v>121</v>
      </c>
      <c r="H201" s="116">
        <f t="shared" si="79"/>
        <v>0</v>
      </c>
      <c r="I201" s="116">
        <f>IF(D201=TRUE,(G201+M201)/2,0)</f>
        <v>0</v>
      </c>
    </row>
    <row r="202" spans="4:15" ht="15.75" thickBot="1">
      <c r="F202" s="116"/>
      <c r="G202" s="116"/>
      <c r="H202" s="42">
        <f>IF($H$9=2,H199+H200+H201,0)</f>
        <v>0</v>
      </c>
      <c r="I202" s="42">
        <f>IF($H$9=2,I199+I200+I201,0)</f>
        <v>0</v>
      </c>
    </row>
    <row r="204" spans="4:15" ht="15.75" thickBot="1"/>
    <row r="205" spans="4:15">
      <c r="D205" s="23"/>
      <c r="E205" s="15"/>
      <c r="F205" s="203" t="s">
        <v>4</v>
      </c>
      <c r="G205" s="204"/>
      <c r="H205" s="116"/>
      <c r="I205" s="116"/>
    </row>
    <row r="206" spans="4:15">
      <c r="D206" s="22"/>
      <c r="E206" s="2"/>
      <c r="F206" s="5" t="s">
        <v>2</v>
      </c>
      <c r="G206" s="26" t="s">
        <v>3</v>
      </c>
      <c r="H206" s="116"/>
      <c r="I206" s="116"/>
    </row>
    <row r="207" spans="4:15">
      <c r="D207" s="22" t="b">
        <f>AND($D$1=4,'Simulazione 5.5'!$C$3&lt;=20,'Simulazione 5.5'!$C$3&gt;=1)</f>
        <v>0</v>
      </c>
      <c r="E207" s="28" t="s">
        <v>128</v>
      </c>
      <c r="F207" s="5">
        <v>196</v>
      </c>
      <c r="G207" s="26">
        <v>130</v>
      </c>
      <c r="H207" s="116">
        <f t="shared" ref="H207:H209" si="81">IF(D207=TRUE,F207,0)</f>
        <v>0</v>
      </c>
      <c r="I207" s="116">
        <f t="shared" ref="I207:I209" si="82">IF(D207=TRUE,G207,0)</f>
        <v>0</v>
      </c>
    </row>
    <row r="208" spans="4:15">
      <c r="D208" s="22" t="b">
        <f>AND($D$1=4,'Simulazione 5.5'!$C$3&lt;=200,'Simulazione 5.5'!$C$3&gt;20)</f>
        <v>0</v>
      </c>
      <c r="E208" s="28" t="s">
        <v>8</v>
      </c>
      <c r="F208" s="5">
        <v>187</v>
      </c>
      <c r="G208" s="26">
        <v>121</v>
      </c>
      <c r="H208" s="116">
        <f t="shared" si="81"/>
        <v>0</v>
      </c>
      <c r="I208" s="116">
        <f t="shared" si="82"/>
        <v>0</v>
      </c>
    </row>
    <row r="209" spans="2:28" ht="15.75" thickBot="1">
      <c r="D209" s="29" t="b">
        <f>AND($D$1=4,'Simulazione 5.5'!$C$3&gt;200)</f>
        <v>0</v>
      </c>
      <c r="E209" s="35" t="s">
        <v>129</v>
      </c>
      <c r="F209" s="36">
        <v>176</v>
      </c>
      <c r="G209" s="37">
        <v>109</v>
      </c>
      <c r="H209" s="116">
        <f t="shared" si="81"/>
        <v>0</v>
      </c>
      <c r="I209" s="116">
        <f t="shared" si="82"/>
        <v>0</v>
      </c>
    </row>
    <row r="210" spans="2:28" ht="15.75" thickBot="1">
      <c r="F210" s="116"/>
      <c r="G210" s="116"/>
      <c r="H210" s="42">
        <f>IF($H$9=2,H207+H208+H209,0)</f>
        <v>0</v>
      </c>
      <c r="I210" s="42">
        <f>IF($H$9=2,I207+I208+I209,0)</f>
        <v>0</v>
      </c>
    </row>
    <row r="212" spans="2:28" ht="15.75" thickBot="1"/>
    <row r="213" spans="2:28">
      <c r="D213" s="23"/>
      <c r="E213" s="15"/>
      <c r="F213" s="203" t="s">
        <v>4</v>
      </c>
      <c r="G213" s="204"/>
      <c r="H213" s="116"/>
      <c r="I213" s="116"/>
    </row>
    <row r="214" spans="2:28">
      <c r="D214" s="22"/>
      <c r="E214" s="2"/>
      <c r="F214" s="5" t="s">
        <v>2</v>
      </c>
      <c r="G214" s="26" t="s">
        <v>3</v>
      </c>
      <c r="H214" s="116"/>
      <c r="I214" s="116"/>
    </row>
    <row r="215" spans="2:28">
      <c r="D215" s="22" t="b">
        <f>AND($D$1=5,'Simulazione 5.5'!$C$3&lt;=20,'Simulazione 5.5'!$C$3&gt;=1)</f>
        <v>0</v>
      </c>
      <c r="E215" s="28" t="s">
        <v>128</v>
      </c>
      <c r="F215" s="5">
        <v>176</v>
      </c>
      <c r="G215" s="26">
        <v>117</v>
      </c>
      <c r="H215" s="116">
        <f t="shared" ref="H215:H217" si="83">IF(D215=TRUE,F215,0)</f>
        <v>0</v>
      </c>
      <c r="I215" s="116">
        <f t="shared" ref="I215:I217" si="84">IF(D215=TRUE,G215,0)</f>
        <v>0</v>
      </c>
    </row>
    <row r="216" spans="2:28">
      <c r="D216" s="22" t="b">
        <f>AND($D$1=5,'Simulazione 5.5'!$C$3&lt;=200,'Simulazione 5.5'!$C$3&gt;20)</f>
        <v>0</v>
      </c>
      <c r="E216" s="28" t="s">
        <v>8</v>
      </c>
      <c r="F216" s="5">
        <v>169</v>
      </c>
      <c r="G216" s="26">
        <v>109</v>
      </c>
      <c r="H216" s="116">
        <f t="shared" si="83"/>
        <v>0</v>
      </c>
      <c r="I216" s="116">
        <f t="shared" si="84"/>
        <v>0</v>
      </c>
    </row>
    <row r="217" spans="2:28" ht="15.75" thickBot="1">
      <c r="D217" s="29" t="b">
        <f>AND($D$1=5,'Simulazione 5.5'!$C$3&gt;200)</f>
        <v>0</v>
      </c>
      <c r="E217" s="35" t="s">
        <v>129</v>
      </c>
      <c r="F217" s="36">
        <v>158</v>
      </c>
      <c r="G217" s="37">
        <v>98</v>
      </c>
      <c r="H217" s="116">
        <f t="shared" si="83"/>
        <v>0</v>
      </c>
      <c r="I217" s="116">
        <f t="shared" si="84"/>
        <v>0</v>
      </c>
    </row>
    <row r="218" spans="2:28" ht="15.75" thickBot="1">
      <c r="F218" s="116"/>
      <c r="G218" s="116"/>
      <c r="H218" s="42">
        <f>IF($H$9=2,H215+H216+H217,0)</f>
        <v>0</v>
      </c>
      <c r="I218" s="42">
        <f>IF($H$9=2,I215+I216+I217,0)</f>
        <v>0</v>
      </c>
    </row>
    <row r="221" spans="2:28">
      <c r="D221" s="6" t="s">
        <v>158</v>
      </c>
    </row>
    <row r="222" spans="2:28"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07">
        <v>20</v>
      </c>
      <c r="X222" s="107">
        <v>21</v>
      </c>
      <c r="Y222" s="107">
        <v>22</v>
      </c>
      <c r="Z222" s="107">
        <v>23</v>
      </c>
      <c r="AA222" s="107">
        <v>24</v>
      </c>
      <c r="AB222" s="107">
        <v>25</v>
      </c>
    </row>
    <row r="223" spans="2:28">
      <c r="D223" s="179">
        <f>'Simulazione 5.5'!C31</f>
        <v>3600</v>
      </c>
      <c r="E223" s="107">
        <f>D223+(Calcoli!D223/100*'Simulazione 5.5'!$C$39)</f>
        <v>3672</v>
      </c>
      <c r="F223" s="107">
        <f>E223+(Calcoli!E223/100*'Simulazione 5.5'!$C$39)</f>
        <v>3745.44</v>
      </c>
      <c r="G223" s="107">
        <f>F223+(Calcoli!F223/100*'Simulazione 5.5'!$C$39)</f>
        <v>3820.3488000000002</v>
      </c>
      <c r="H223" s="107">
        <f>G223+(Calcoli!G223/100*'Simulazione 5.5'!$C$39)</f>
        <v>3896.7557760000004</v>
      </c>
      <c r="I223" s="107">
        <f>H223+(Calcoli!H223/100*'Simulazione 5.5'!$C$39)</f>
        <v>3974.6908915200006</v>
      </c>
      <c r="J223" s="107">
        <f>I223+(Calcoli!I223/100*'Simulazione 5.5'!$C$39)</f>
        <v>4054.1847093504007</v>
      </c>
      <c r="K223" s="107">
        <f>J223+(Calcoli!J223/100*'Simulazione 5.5'!$C$39)</f>
        <v>4135.2684035374086</v>
      </c>
      <c r="L223" s="107">
        <f>K223+(Calcoli!K223/100*'Simulazione 5.5'!$C$39)</f>
        <v>4217.9737716081572</v>
      </c>
      <c r="M223" s="107">
        <f>L223+(Calcoli!L223/100*'Simulazione 5.5'!$C$39)</f>
        <v>4302.3332470403202</v>
      </c>
      <c r="N223" s="107">
        <f>M223+(Calcoli!M223/100*'Simulazione 5.5'!$C$39)</f>
        <v>4388.3799119811265</v>
      </c>
      <c r="O223" s="107">
        <f>N223+(Calcoli!N223/100*'Simulazione 5.5'!$C$39)</f>
        <v>4476.1475102207487</v>
      </c>
      <c r="P223" s="107">
        <f>O223+(Calcoli!O223/100*'Simulazione 5.5'!$C$39)</f>
        <v>4565.6704604251636</v>
      </c>
      <c r="Q223" s="107">
        <f>P223+(Calcoli!P223/100*'Simulazione 5.5'!$C$39)</f>
        <v>4656.9838696336665</v>
      </c>
      <c r="R223" s="107">
        <f>Q223+(Calcoli!Q223/100*'Simulazione 5.5'!$C$39)</f>
        <v>4750.12354702634</v>
      </c>
      <c r="S223" s="107">
        <f>R223+(Calcoli!R223/100*'Simulazione 5.5'!$C$39)</f>
        <v>4845.126017966867</v>
      </c>
      <c r="T223" s="107">
        <f>S223+(Calcoli!S223/100*'Simulazione 5.5'!$C$39)</f>
        <v>4942.0285383262044</v>
      </c>
      <c r="U223" s="107">
        <f>T223+(Calcoli!T223/100*'Simulazione 5.5'!$C$39)</f>
        <v>5040.8691090927286</v>
      </c>
      <c r="V223" s="107">
        <f>U223+(Calcoli!U223/100*'Simulazione 5.5'!$C$39)</f>
        <v>5141.6864912745832</v>
      </c>
      <c r="W223" s="107">
        <f>V223+(Calcoli!V223/100*'Simulazione 5.5'!$C$39)</f>
        <v>5244.5202211000751</v>
      </c>
      <c r="X223" s="107">
        <f>W223+(Calcoli!W223/100*'Simulazione 5.5'!$C$39)</f>
        <v>5349.4106255220768</v>
      </c>
      <c r="Y223" s="107">
        <f>X223+(Calcoli!X223/100*'Simulazione 5.5'!$C$39)</f>
        <v>5456.3988380325181</v>
      </c>
      <c r="Z223" s="107">
        <f>Y223+(Calcoli!Y223/100*'Simulazione 5.5'!$C$39)</f>
        <v>5565.5268147931683</v>
      </c>
      <c r="AA223" s="107">
        <f>Z223+(Calcoli!Z223/100*'Simulazione 5.5'!$C$39)</f>
        <v>5676.8373510890315</v>
      </c>
      <c r="AB223" s="107">
        <f>AA223+(Calcoli!AA223/100*'Simulazione 5.5'!$C$39)</f>
        <v>5790.3740981108122</v>
      </c>
    </row>
    <row r="224" spans="2:28">
      <c r="B224" s="6" t="s">
        <v>177</v>
      </c>
      <c r="D224" s="179">
        <f>D223/100*Calcoli!$S$41</f>
        <v>1800</v>
      </c>
      <c r="E224" s="179">
        <f>E223/100*Calcoli!$S$41</f>
        <v>1836</v>
      </c>
      <c r="F224" s="107">
        <f>F223/100*Calcoli!$S$41</f>
        <v>1872.72</v>
      </c>
      <c r="G224" s="107">
        <f>G223/100*Calcoli!$S$41</f>
        <v>1910.1744000000001</v>
      </c>
      <c r="H224" s="107">
        <f>H223/100*Calcoli!$S$41</f>
        <v>1948.3778880000002</v>
      </c>
      <c r="I224" s="107">
        <f>I223/100*Calcoli!$S$41</f>
        <v>1987.3454457600005</v>
      </c>
      <c r="J224" s="107">
        <f>J223/100*Calcoli!$S$41</f>
        <v>2027.0923546752001</v>
      </c>
      <c r="K224" s="107">
        <f>K223/100*Calcoli!$S$41</f>
        <v>2067.6342017687043</v>
      </c>
      <c r="L224" s="107">
        <f>L223/100*Calcoli!$S$41</f>
        <v>2108.9868858040786</v>
      </c>
      <c r="M224" s="107">
        <f>M223/100*Calcoli!$S$41</f>
        <v>2151.1666235201601</v>
      </c>
      <c r="N224" s="107">
        <f>N223/100*Calcoli!$S$41</f>
        <v>2194.1899559905632</v>
      </c>
      <c r="O224" s="107">
        <f>O223/100*Calcoli!$S$41</f>
        <v>2238.0737551103743</v>
      </c>
      <c r="P224" s="107">
        <f>P223/100*Calcoli!$S$41</f>
        <v>2282.8352302125818</v>
      </c>
      <c r="Q224" s="107">
        <f>Q223/100*Calcoli!$S$41</f>
        <v>2328.4919348168332</v>
      </c>
      <c r="R224" s="107">
        <f>R223/100*Calcoli!$S$41</f>
        <v>2375.06177351317</v>
      </c>
      <c r="S224" s="107">
        <f>S223/100*Calcoli!$S$41</f>
        <v>2422.5630089834335</v>
      </c>
      <c r="T224" s="107">
        <f>T223/100*Calcoli!$S$41</f>
        <v>2471.0142691631022</v>
      </c>
      <c r="U224" s="107">
        <f>U223/100*Calcoli!$S$41</f>
        <v>2520.4345545463643</v>
      </c>
      <c r="V224" s="107">
        <f>V223/100*Calcoli!$S$41</f>
        <v>2570.8432456372916</v>
      </c>
      <c r="W224" s="107">
        <f>W223/100*Calcoli!$S$41</f>
        <v>2622.2601105500376</v>
      </c>
      <c r="X224" s="107">
        <f>X223/100*Calcoli!$S$41</f>
        <v>2674.7053127610384</v>
      </c>
      <c r="Y224" s="107">
        <f>Y223/100*Calcoli!$S$41</f>
        <v>2728.1994190162591</v>
      </c>
      <c r="Z224" s="107">
        <f>Z223/100*Calcoli!$S$41</f>
        <v>2782.7634073965842</v>
      </c>
      <c r="AA224" s="107">
        <f>AA223/100*Calcoli!$S$41</f>
        <v>2838.4186755445157</v>
      </c>
      <c r="AB224" s="107">
        <f>AB223/100*Calcoli!$S$41</f>
        <v>2895.1870490554061</v>
      </c>
    </row>
    <row r="226" spans="3:28">
      <c r="D226" s="6" t="s">
        <v>162</v>
      </c>
    </row>
    <row r="227" spans="3:28">
      <c r="D227" s="6" t="b">
        <f>AND(D1=6,Q49=1)</f>
        <v>0</v>
      </c>
    </row>
    <row r="229" spans="3:28">
      <c r="D229" s="6" t="s">
        <v>163</v>
      </c>
    </row>
    <row r="230" spans="3:28">
      <c r="D230" s="6" t="b">
        <f>AND(D1=6,Q49=2)</f>
        <v>0</v>
      </c>
    </row>
    <row r="232" spans="3:28">
      <c r="D232" s="6" t="s">
        <v>167</v>
      </c>
      <c r="G232" s="174">
        <f>'Simulazione 5.5'!C46/100*90</f>
        <v>0.16200000000000001</v>
      </c>
    </row>
    <row r="235" spans="3:28">
      <c r="C235" s="6" t="s">
        <v>168</v>
      </c>
      <c r="D235" s="106">
        <f>IF('Simulazione 5.5'!E55&lt;'Simulazione 5.5'!E56,'Simulazione 5.5'!E55,'Simulazione 5.5'!E56)</f>
        <v>900</v>
      </c>
      <c r="E235" s="106">
        <f>IF('Simulazione 5.5'!F55&lt;'Simulazione 5.5'!F56,'Simulazione 5.5'!F55,'Simulazione 5.5'!F56)</f>
        <v>918</v>
      </c>
      <c r="F235" s="106">
        <f>IF('Simulazione 5.5'!G55&lt;'Simulazione 5.5'!G56,'Simulazione 5.5'!G55,'Simulazione 5.5'!G56)</f>
        <v>936.36</v>
      </c>
      <c r="G235" s="106">
        <f>IF('Simulazione 5.5'!H55&lt;'Simulazione 5.5'!H56,'Simulazione 5.5'!H55,'Simulazione 5.5'!H56)</f>
        <v>955.08720000000005</v>
      </c>
      <c r="H235" s="106">
        <f>IF('Simulazione 5.5'!I55&lt;'Simulazione 5.5'!I56,'Simulazione 5.5'!I55,'Simulazione 5.5'!I56)</f>
        <v>974.18894400000011</v>
      </c>
      <c r="I235" s="106">
        <f>IF('Simulazione 5.5'!J55&lt;'Simulazione 5.5'!J56,'Simulazione 5.5'!J55,'Simulazione 5.5'!J56)</f>
        <v>993.67272288000026</v>
      </c>
      <c r="J235" s="106">
        <f>IF('Simulazione 5.5'!K55&lt;'Simulazione 5.5'!K56,'Simulazione 5.5'!K55,'Simulazione 5.5'!K56)</f>
        <v>1013.5461773376001</v>
      </c>
      <c r="K235" s="106">
        <f>IF('Simulazione 5.5'!L55&lt;'Simulazione 5.5'!L56,'Simulazione 5.5'!L55,'Simulazione 5.5'!L56)</f>
        <v>1033.8171008843522</v>
      </c>
      <c r="L235" s="106">
        <f>IF('Simulazione 5.5'!M55&lt;'Simulazione 5.5'!M56,'Simulazione 5.5'!M55,'Simulazione 5.5'!M56)</f>
        <v>1054.4934429020393</v>
      </c>
      <c r="M235" s="106">
        <f>IF('Simulazione 5.5'!N55&lt;'Simulazione 5.5'!N56,'Simulazione 5.5'!N55,'Simulazione 5.5'!N56)</f>
        <v>1075.5833117600801</v>
      </c>
      <c r="N235" s="106">
        <f>IF('Simulazione 5.5'!O55&lt;'Simulazione 5.5'!O56,'Simulazione 5.5'!O55,'Simulazione 5.5'!O56)</f>
        <v>1097.0949779952816</v>
      </c>
      <c r="O235" s="106">
        <f>IF('Simulazione 5.5'!P55&lt;'Simulazione 5.5'!P56,'Simulazione 5.5'!P55,'Simulazione 5.5'!P56)</f>
        <v>1119.0368775551872</v>
      </c>
      <c r="P235" s="106">
        <f>IF('Simulazione 5.5'!Q55&lt;'Simulazione 5.5'!Q56,'Simulazione 5.5'!Q55,'Simulazione 5.5'!Q56)</f>
        <v>1141.4176151062909</v>
      </c>
      <c r="Q235" s="106">
        <f>IF('Simulazione 5.5'!R55&lt;'Simulazione 5.5'!R56,'Simulazione 5.5'!R55,'Simulazione 5.5'!R56)</f>
        <v>1164.2459674084166</v>
      </c>
      <c r="R235" s="106">
        <f>IF('Simulazione 5.5'!S55&lt;'Simulazione 5.5'!S56,'Simulazione 5.5'!S55,'Simulazione 5.5'!S56)</f>
        <v>1187.530886756585</v>
      </c>
      <c r="S235" s="106">
        <f>IF('Simulazione 5.5'!T55&lt;'Simulazione 5.5'!T56,'Simulazione 5.5'!T55,'Simulazione 5.5'!T56)</f>
        <v>1211.2815044917168</v>
      </c>
      <c r="T235" s="106">
        <f>IF('Simulazione 5.5'!U55&lt;'Simulazione 5.5'!U56,'Simulazione 5.5'!U55,'Simulazione 5.5'!U56)</f>
        <v>1235.5071345815511</v>
      </c>
      <c r="U235" s="106">
        <f>IF('Simulazione 5.5'!V55&lt;'Simulazione 5.5'!V56,'Simulazione 5.5'!V55,'Simulazione 5.5'!V56)</f>
        <v>1260.2172772731822</v>
      </c>
      <c r="V235" s="106">
        <f>IF('Simulazione 5.5'!W55&lt;'Simulazione 5.5'!W56,'Simulazione 5.5'!W55,'Simulazione 5.5'!W56)</f>
        <v>1285.4216228186458</v>
      </c>
      <c r="W235" s="106">
        <f>IF('Simulazione 5.5'!X55&lt;'Simulazione 5.5'!X56,'Simulazione 5.5'!X55,'Simulazione 5.5'!X56)</f>
        <v>1311.1300552750188</v>
      </c>
      <c r="X235" s="106">
        <f>IF('Simulazione 5.5'!Y55&lt;'Simulazione 5.5'!Y56,'Simulazione 5.5'!Y55,'Simulazione 5.5'!Y56)</f>
        <v>1337.3526563805192</v>
      </c>
      <c r="Y235" s="106">
        <f>IF('Simulazione 5.5'!Z55&lt;'Simulazione 5.5'!Z56,'Simulazione 5.5'!Z55,'Simulazione 5.5'!Z56)</f>
        <v>1364.0997095081295</v>
      </c>
      <c r="Z235" s="106">
        <f>IF('Simulazione 5.5'!AA55&lt;'Simulazione 5.5'!AA56,'Simulazione 5.5'!AA55,'Simulazione 5.5'!AA56)</f>
        <v>1391.3817036982921</v>
      </c>
      <c r="AA235" s="106">
        <f>IF('Simulazione 5.5'!AB55&lt;'Simulazione 5.5'!AB56,'Simulazione 5.5'!AB55,'Simulazione 5.5'!AB56)</f>
        <v>1419.2093377722579</v>
      </c>
      <c r="AB235" s="106">
        <f>IF('Simulazione 5.5'!AC55&lt;'Simulazione 5.5'!AC56,'Simulazione 5.5'!AC55,'Simulazione 5.5'!AC56)</f>
        <v>1447.593524527703</v>
      </c>
    </row>
    <row r="236" spans="3:28">
      <c r="C236" s="6" t="s">
        <v>169</v>
      </c>
      <c r="D236" s="106">
        <f>'Simulazione 5.5'!E56-Calcoli!D235</f>
        <v>1800</v>
      </c>
      <c r="E236" s="106">
        <f>'Simulazione 5.5'!F56-Calcoli!E235</f>
        <v>1731.6</v>
      </c>
      <c r="F236" s="106">
        <f>'Simulazione 5.5'!G56-Calcoli!F235</f>
        <v>1662.7715999999996</v>
      </c>
      <c r="G236" s="106">
        <f>'Simulazione 5.5'!H56-Calcoli!G235</f>
        <v>1593.4977755999994</v>
      </c>
      <c r="H236" s="106">
        <f>'Simulazione 5.5'!I56-Calcoli!H235</f>
        <v>1523.7612380195987</v>
      </c>
      <c r="I236" s="106">
        <f>'Simulazione 5.5'!J56-Calcoli!I235</f>
        <v>1453.5444281254211</v>
      </c>
      <c r="J236" s="106">
        <f>'Simulazione 5.5'!K56-Calcoli!J235</f>
        <v>1382.8295103452529</v>
      </c>
      <c r="K236" s="106">
        <f>'Simulazione 5.5'!L56-Calcoli!K235</f>
        <v>1311.5983664665644</v>
      </c>
      <c r="L236" s="106">
        <f>'Simulazione 5.5'!M56-Calcoli!L235</f>
        <v>1239.8325893170725</v>
      </c>
      <c r="M236" s="106">
        <f>'Simulazione 5.5'!N56-Calcoli!M235</f>
        <v>1167.5134763249002</v>
      </c>
      <c r="N236" s="106">
        <f>'Simulazione 5.5'!O56-Calcoli!N235</f>
        <v>1094.6220229558912</v>
      </c>
      <c r="O236" s="106">
        <f>'Simulazione 5.5'!P56-Calcoli!O235</f>
        <v>1021.1389160255619</v>
      </c>
      <c r="P236" s="106">
        <f>'Simulazione 5.5'!Q56-Calcoli!P235</f>
        <v>947.04452688313108</v>
      </c>
      <c r="Q236" s="106">
        <f>'Simulazione 5.5'!R56-Calcoli!Q235</f>
        <v>872.31890446501802</v>
      </c>
      <c r="R236" s="106">
        <f>'Simulazione 5.5'!S56-Calcoli!R235</f>
        <v>796.94176821514429</v>
      </c>
      <c r="S236" s="106">
        <f>'Simulazione 5.5'!T56-Calcoli!S235</f>
        <v>720.89250086932589</v>
      </c>
      <c r="T236" s="106">
        <f>'Simulazione 5.5'!U56-Calcoli!T235</f>
        <v>644.15014110098218</v>
      </c>
      <c r="U236" s="106">
        <f>'Simulazione 5.5'!V56-Calcoli!U235</f>
        <v>566.69337602534324</v>
      </c>
      <c r="V236" s="106">
        <f>'Simulazione 5.5'!W56-Calcoli!V235</f>
        <v>488.50053355927048</v>
      </c>
      <c r="W236" s="106">
        <f>'Simulazione 5.5'!X56-Calcoli!W235</f>
        <v>409.54957463375513</v>
      </c>
      <c r="X236" s="106">
        <f>'Simulazione 5.5'!Y56-Calcoli!X235</f>
        <v>329.81808525609995</v>
      </c>
      <c r="Y236" s="106">
        <f>'Simulazione 5.5'!Z56-Calcoli!Y235</f>
        <v>249.28326841872467</v>
      </c>
      <c r="Z236" s="106">
        <f>'Simulazione 5.5'!AA56-Calcoli!Z235</f>
        <v>167.9219358514847</v>
      </c>
      <c r="AA236" s="106">
        <f>'Simulazione 5.5'!AB56-Calcoli!AA235</f>
        <v>85.71049961432027</v>
      </c>
      <c r="AB236" s="106">
        <f>'Simulazione 5.5'!AC56-Calcoli!AB235</f>
        <v>2.6249635270000908</v>
      </c>
    </row>
    <row r="239" spans="3:28">
      <c r="C239" s="6" t="s">
        <v>176</v>
      </c>
    </row>
    <row r="241" spans="4:28">
      <c r="D241" s="175">
        <v>1</v>
      </c>
      <c r="E241" s="175">
        <v>2</v>
      </c>
      <c r="F241" s="175">
        <v>3</v>
      </c>
      <c r="G241" s="175">
        <v>4</v>
      </c>
      <c r="H241" s="175">
        <v>5</v>
      </c>
      <c r="I241" s="175">
        <v>6</v>
      </c>
      <c r="J241" s="175">
        <v>7</v>
      </c>
      <c r="K241" s="175">
        <v>8</v>
      </c>
      <c r="L241" s="175">
        <v>9</v>
      </c>
      <c r="M241" s="175">
        <v>10</v>
      </c>
      <c r="N241" s="175">
        <v>11</v>
      </c>
      <c r="O241" s="175">
        <v>12</v>
      </c>
      <c r="P241" s="175">
        <v>13</v>
      </c>
      <c r="Q241" s="175">
        <v>14</v>
      </c>
      <c r="R241" s="175">
        <v>15</v>
      </c>
      <c r="S241" s="175">
        <v>16</v>
      </c>
      <c r="T241" s="175">
        <v>17</v>
      </c>
      <c r="U241" s="175">
        <v>18</v>
      </c>
      <c r="V241" s="175">
        <v>19</v>
      </c>
      <c r="W241" s="175">
        <v>20</v>
      </c>
      <c r="X241" s="175">
        <v>21</v>
      </c>
      <c r="Y241" s="175">
        <v>22</v>
      </c>
      <c r="Z241" s="175">
        <v>23</v>
      </c>
      <c r="AA241" s="175">
        <v>24</v>
      </c>
      <c r="AB241" s="175">
        <v>25</v>
      </c>
    </row>
    <row r="242" spans="4:28">
      <c r="D242" s="175">
        <f>'Simulazione 5.5'!C46</f>
        <v>0.18</v>
      </c>
      <c r="E242" s="175">
        <f>D242+(D242/100*'Simulazione 5.5'!$C$49)</f>
        <v>0.18720000000000001</v>
      </c>
      <c r="F242" s="175">
        <f>E242+(E242/100*'Simulazione 5.5'!$C$49)</f>
        <v>0.194688</v>
      </c>
      <c r="G242" s="175">
        <f>F242+(F242/100*'Simulazione 5.5'!$C$49)</f>
        <v>0.20247551999999999</v>
      </c>
      <c r="H242" s="175">
        <f>G242+(G242/100*'Simulazione 5.5'!$C$49)</f>
        <v>0.21057454079999999</v>
      </c>
      <c r="I242" s="175">
        <f>H242+(H242/100*'Simulazione 5.5'!$C$49)</f>
        <v>0.21899752243199999</v>
      </c>
      <c r="J242" s="175">
        <f>I242+(I242/100*'Simulazione 5.5'!$C$49)</f>
        <v>0.22775742332927998</v>
      </c>
      <c r="K242" s="175">
        <f>J242+(J242/100*'Simulazione 5.5'!$C$49)</f>
        <v>0.23686772026245118</v>
      </c>
      <c r="L242" s="175">
        <f>K242+(K242/100*'Simulazione 5.5'!$C$49)</f>
        <v>0.24634242907294923</v>
      </c>
      <c r="M242" s="175">
        <f>L242+(L242/100*'Simulazione 5.5'!$C$49)</f>
        <v>0.25619612623586718</v>
      </c>
      <c r="N242" s="175">
        <f>M242+(M242/100*'Simulazione 5.5'!$C$49)</f>
        <v>0.26644397128530189</v>
      </c>
      <c r="O242" s="175">
        <f>N242+(N242/100*'Simulazione 5.5'!$C$49)</f>
        <v>0.27710173013671396</v>
      </c>
      <c r="P242" s="175">
        <f>O242+(O242/100*'Simulazione 5.5'!$C$49)</f>
        <v>0.28818579934218252</v>
      </c>
      <c r="Q242" s="175">
        <f>P242+(P242/100*'Simulazione 5.5'!$C$49)</f>
        <v>0.2997132313158698</v>
      </c>
      <c r="R242" s="175">
        <f>Q242+(Q242/100*'Simulazione 5.5'!$C$49)</f>
        <v>0.31170176056850457</v>
      </c>
      <c r="S242" s="175">
        <f>R242+(R242/100*'Simulazione 5.5'!$C$49)</f>
        <v>0.32416983099124475</v>
      </c>
      <c r="T242" s="175">
        <f>S242+(S242/100*'Simulazione 5.5'!$C$49)</f>
        <v>0.33713662423089452</v>
      </c>
      <c r="U242" s="175">
        <f>T242+(T242/100*'Simulazione 5.5'!$C$49)</f>
        <v>0.35062208920013033</v>
      </c>
      <c r="V242" s="175">
        <f>U242+(U242/100*'Simulazione 5.5'!$C$49)</f>
        <v>0.36464697276813551</v>
      </c>
      <c r="W242" s="175">
        <f>V242+(V242/100*'Simulazione 5.5'!$C$49)</f>
        <v>0.37923285167886095</v>
      </c>
      <c r="X242" s="175">
        <f>W242+(W242/100*'Simulazione 5.5'!$C$49)</f>
        <v>0.39440216574601539</v>
      </c>
      <c r="Y242" s="175">
        <f>X242+(X242/100*'Simulazione 5.5'!$C$49)</f>
        <v>0.41017825237585598</v>
      </c>
      <c r="Z242" s="175">
        <f>Y242+(Y242/100*'Simulazione 5.5'!$C$49)</f>
        <v>0.42658538247089023</v>
      </c>
      <c r="AA242" s="175">
        <f>Z242+(Z242/100*'Simulazione 5.5'!$C$49)</f>
        <v>0.44364879776972582</v>
      </c>
      <c r="AB242" s="175">
        <f>AA242+(AA242/100*'Simulazione 5.5'!$C$49)</f>
        <v>0.46139474968051486</v>
      </c>
    </row>
  </sheetData>
  <sheetProtection formatCells="0" formatColumns="0" formatRows="0" insertColumns="0" insertRows="0" insertHyperlinks="0" deleteColumns="0" deleteRows="0" sort="0" autoFilter="0" pivotTables="0"/>
  <mergeCells count="32">
    <mergeCell ref="D119:F119"/>
    <mergeCell ref="F189:G189"/>
    <mergeCell ref="F197:G197"/>
    <mergeCell ref="F205:G205"/>
    <mergeCell ref="F213:G213"/>
    <mergeCell ref="F121:G121"/>
    <mergeCell ref="L121:M121"/>
    <mergeCell ref="F131:G131"/>
    <mergeCell ref="L131:M131"/>
    <mergeCell ref="F182:G182"/>
    <mergeCell ref="L182:M182"/>
    <mergeCell ref="D179:F179"/>
    <mergeCell ref="F11:G11"/>
    <mergeCell ref="L11:M11"/>
    <mergeCell ref="F21:G21"/>
    <mergeCell ref="L21:M21"/>
    <mergeCell ref="D1:D5"/>
    <mergeCell ref="D7:D8"/>
    <mergeCell ref="U2:AA2"/>
    <mergeCell ref="U3:AA3"/>
    <mergeCell ref="U4:AA4"/>
    <mergeCell ref="U5:AA5"/>
    <mergeCell ref="U6:AA6"/>
    <mergeCell ref="U12:AA12"/>
    <mergeCell ref="U13:AA13"/>
    <mergeCell ref="U14:AA14"/>
    <mergeCell ref="U15:AA15"/>
    <mergeCell ref="U7:AA7"/>
    <mergeCell ref="U8:AA8"/>
    <mergeCell ref="U9:AA9"/>
    <mergeCell ref="U10:AA10"/>
    <mergeCell ref="U11:AA11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Simulazione 5.5</vt:lpstr>
      <vt:lpstr>Calcoli</vt:lpstr>
      <vt:lpstr>'Simulazione 5.5'!Area_stampa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2012-07-18T12:57:25Z</cp:lastPrinted>
  <dcterms:created xsi:type="dcterms:W3CDTF">2012-05-08T21:23:52Z</dcterms:created>
  <dcterms:modified xsi:type="dcterms:W3CDTF">2012-07-30T09:34:07Z</dcterms:modified>
</cp:coreProperties>
</file>