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6.3" sheetId="1" r:id="rId1"/>
    <sheet name="Calcoli" sheetId="6" r:id="rId2"/>
  </sheets>
  <definedNames>
    <definedName name="_xlnm.Print_Area" localSheetId="0">'Simulazione 6.3'!$A$1:$AC$81</definedName>
  </definedNames>
  <calcPr calcId="125725" forceFullCalc="1"/>
</workbook>
</file>

<file path=xl/calcChain.xml><?xml version="1.0" encoding="utf-8"?>
<calcChain xmlns="http://schemas.openxmlformats.org/spreadsheetml/2006/main">
  <c r="D255" i="6"/>
  <c r="E255" s="1"/>
  <c r="F255" s="1"/>
  <c r="G255" s="1"/>
  <c r="H255" s="1"/>
  <c r="I255" s="1"/>
  <c r="J255" s="1"/>
  <c r="K255" s="1"/>
  <c r="L255" s="1"/>
  <c r="M255" s="1"/>
  <c r="N255" s="1"/>
  <c r="O255" s="1"/>
  <c r="P255" s="1"/>
  <c r="Q255" s="1"/>
  <c r="R255" s="1"/>
  <c r="S255" s="1"/>
  <c r="T255" s="1"/>
  <c r="U255" s="1"/>
  <c r="V255" s="1"/>
  <c r="W255" s="1"/>
  <c r="X255" s="1"/>
  <c r="Y255" s="1"/>
  <c r="Z255" s="1"/>
  <c r="AA255" s="1"/>
  <c r="AB255" s="1"/>
  <c r="AC55" i="1" s="1"/>
  <c r="I55" l="1"/>
  <c r="M55"/>
  <c r="Q55"/>
  <c r="U55"/>
  <c r="Y55"/>
  <c r="H55"/>
  <c r="L55"/>
  <c r="P55"/>
  <c r="T55"/>
  <c r="X55"/>
  <c r="AB55"/>
  <c r="G55"/>
  <c r="K55"/>
  <c r="O55"/>
  <c r="S55"/>
  <c r="W55"/>
  <c r="AA55"/>
  <c r="F55"/>
  <c r="J55"/>
  <c r="N55"/>
  <c r="R55"/>
  <c r="V55"/>
  <c r="Z55"/>
  <c r="E55"/>
  <c r="D246" i="6" l="1"/>
  <c r="E246" s="1"/>
  <c r="F246" s="1"/>
  <c r="G246" s="1"/>
  <c r="H246" s="1"/>
  <c r="I246" s="1"/>
  <c r="J246" s="1"/>
  <c r="K246" s="1"/>
  <c r="L246" s="1"/>
  <c r="M246" s="1"/>
  <c r="N246" s="1"/>
  <c r="O246" s="1"/>
  <c r="P246" s="1"/>
  <c r="Q246" s="1"/>
  <c r="R246" s="1"/>
  <c r="S246" s="1"/>
  <c r="T246" s="1"/>
  <c r="U246" s="1"/>
  <c r="V246" s="1"/>
  <c r="W246" s="1"/>
  <c r="X246" s="1"/>
  <c r="Y246" s="1"/>
  <c r="Z246" s="1"/>
  <c r="AA246" s="1"/>
  <c r="AB246" s="1"/>
  <c r="D242"/>
  <c r="AC77" i="1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Q57" i="6"/>
  <c r="G232"/>
  <c r="H232" s="1"/>
  <c r="I232" s="1"/>
  <c r="J232" s="1"/>
  <c r="K232" s="1"/>
  <c r="L232" s="1"/>
  <c r="M232" s="1"/>
  <c r="N232" s="1"/>
  <c r="O232" s="1"/>
  <c r="P232" s="1"/>
  <c r="Q232" s="1"/>
  <c r="R232" s="1"/>
  <c r="S232" s="1"/>
  <c r="T232" s="1"/>
  <c r="U232" s="1"/>
  <c r="V232" s="1"/>
  <c r="W232" s="1"/>
  <c r="X232" s="1"/>
  <c r="Y232" s="1"/>
  <c r="Z232" s="1"/>
  <c r="AA232" s="1"/>
  <c r="AB232" s="1"/>
  <c r="AC232" s="1"/>
  <c r="AD232" s="1"/>
  <c r="AE232" s="1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2"/>
  <c r="AB72"/>
  <c r="AA72"/>
  <c r="Z72"/>
  <c r="Y72"/>
  <c r="E76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3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E242" l="1"/>
  <c r="X8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F242" l="1"/>
  <c r="E75" i="1"/>
  <c r="I218" i="6"/>
  <c r="I210"/>
  <c r="I194"/>
  <c r="I202"/>
  <c r="I187"/>
  <c r="I149"/>
  <c r="I175"/>
  <c r="I161"/>
  <c r="I139"/>
  <c r="I129"/>
  <c r="E82"/>
  <c r="D85"/>
  <c r="G242" l="1"/>
  <c r="H242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2" i="1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N51" i="6" l="1"/>
  <c r="I242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J242" l="1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K242" l="1"/>
  <c r="R27"/>
  <c r="F26" i="1" s="1"/>
  <c r="E25"/>
  <c r="E26"/>
  <c r="Q52" i="6"/>
  <c r="S52" s="1"/>
  <c r="S53"/>
  <c r="I82"/>
  <c r="H85"/>
  <c r="C41" i="1"/>
  <c r="E54"/>
  <c r="D251" i="6" l="1"/>
  <c r="L242"/>
  <c r="F25" i="1"/>
  <c r="D25" s="1"/>
  <c r="E74"/>
  <c r="Z74"/>
  <c r="V74"/>
  <c r="R74"/>
  <c r="N74"/>
  <c r="J74"/>
  <c r="F74"/>
  <c r="AA74"/>
  <c r="W74"/>
  <c r="S74"/>
  <c r="O74"/>
  <c r="K74"/>
  <c r="G74"/>
  <c r="AB74"/>
  <c r="X74"/>
  <c r="T74"/>
  <c r="P74"/>
  <c r="L74"/>
  <c r="H74"/>
  <c r="AC74"/>
  <c r="Y74"/>
  <c r="U74"/>
  <c r="Q74"/>
  <c r="M74"/>
  <c r="I74"/>
  <c r="D26"/>
  <c r="F54"/>
  <c r="S55" i="6"/>
  <c r="C33" i="1" s="1"/>
  <c r="J82" i="6"/>
  <c r="I85"/>
  <c r="E251" l="1"/>
  <c r="E224"/>
  <c r="D224"/>
  <c r="E56" i="1" s="1"/>
  <c r="M242" i="6"/>
  <c r="C35" i="1"/>
  <c r="G54"/>
  <c r="C34"/>
  <c r="K82" i="6"/>
  <c r="J85"/>
  <c r="F56" i="1" l="1"/>
  <c r="F64" s="1"/>
  <c r="E64"/>
  <c r="F224" i="6"/>
  <c r="F251"/>
  <c r="N242"/>
  <c r="E57" i="1"/>
  <c r="H54"/>
  <c r="L82" i="6"/>
  <c r="K85"/>
  <c r="G56" i="1" l="1"/>
  <c r="G64" s="1"/>
  <c r="G224" i="6"/>
  <c r="G251"/>
  <c r="D235"/>
  <c r="D236" s="1"/>
  <c r="E62" i="1" s="1"/>
  <c r="E63"/>
  <c r="O242" i="6"/>
  <c r="F57" i="1"/>
  <c r="I54"/>
  <c r="M82" i="6"/>
  <c r="L85"/>
  <c r="H56" i="1" l="1"/>
  <c r="H64" s="1"/>
  <c r="H224" i="6"/>
  <c r="H251"/>
  <c r="E61" i="1"/>
  <c r="E235" i="6"/>
  <c r="F61" i="1" s="1"/>
  <c r="F63"/>
  <c r="P242" i="6"/>
  <c r="J54" i="1"/>
  <c r="G57"/>
  <c r="N82" i="6"/>
  <c r="M85"/>
  <c r="E236" l="1"/>
  <c r="F62" i="1" s="1"/>
  <c r="G63"/>
  <c r="I224" i="6"/>
  <c r="I56" i="1"/>
  <c r="I64" s="1"/>
  <c r="I251" i="6"/>
  <c r="Q242"/>
  <c r="F235"/>
  <c r="G61" i="1" s="1"/>
  <c r="K54"/>
  <c r="H57"/>
  <c r="O82" i="6"/>
  <c r="N85"/>
  <c r="H63" i="1" l="1"/>
  <c r="F236" i="6"/>
  <c r="G62" i="1" s="1"/>
  <c r="J56"/>
  <c r="J64" s="1"/>
  <c r="J224" i="6"/>
  <c r="J251"/>
  <c r="R242"/>
  <c r="G235"/>
  <c r="H61" i="1" s="1"/>
  <c r="L54"/>
  <c r="I57"/>
  <c r="P82" i="6"/>
  <c r="O85"/>
  <c r="I63" i="1" l="1"/>
  <c r="G236" i="6"/>
  <c r="H62" i="1" s="1"/>
  <c r="K56"/>
  <c r="K64" s="1"/>
  <c r="K224" i="6"/>
  <c r="K251"/>
  <c r="S242"/>
  <c r="H235"/>
  <c r="I61" i="1" s="1"/>
  <c r="M54"/>
  <c r="J57"/>
  <c r="Q82" i="6"/>
  <c r="P85"/>
  <c r="J63" i="1" l="1"/>
  <c r="H236" i="6"/>
  <c r="I62" i="1" s="1"/>
  <c r="L56"/>
  <c r="L64" s="1"/>
  <c r="L224" i="6"/>
  <c r="L251"/>
  <c r="T242"/>
  <c r="I235"/>
  <c r="J61" i="1" s="1"/>
  <c r="N54"/>
  <c r="K57"/>
  <c r="R82" i="6"/>
  <c r="Q85"/>
  <c r="K63" i="1" l="1"/>
  <c r="I236" i="6"/>
  <c r="J62" i="1" s="1"/>
  <c r="M224" i="6"/>
  <c r="M56" i="1"/>
  <c r="M64" s="1"/>
  <c r="M251" i="6"/>
  <c r="U242"/>
  <c r="J235"/>
  <c r="K61" i="1" s="1"/>
  <c r="O54"/>
  <c r="S82" i="6"/>
  <c r="R85"/>
  <c r="J236" l="1"/>
  <c r="K62" i="1" s="1"/>
  <c r="N56"/>
  <c r="N64" s="1"/>
  <c r="N224" i="6"/>
  <c r="N251"/>
  <c r="V242"/>
  <c r="P54" i="1"/>
  <c r="M57"/>
  <c r="T82" i="6"/>
  <c r="S85"/>
  <c r="M63" i="1" l="1"/>
  <c r="O56"/>
  <c r="O64" s="1"/>
  <c r="O224" i="6"/>
  <c r="O251"/>
  <c r="W242"/>
  <c r="L235"/>
  <c r="M61" i="1" s="1"/>
  <c r="Q54"/>
  <c r="N57"/>
  <c r="U82" i="6"/>
  <c r="T85"/>
  <c r="N63" i="1" l="1"/>
  <c r="L236" i="6"/>
  <c r="M62" i="1" s="1"/>
  <c r="P224" i="6"/>
  <c r="P56" i="1"/>
  <c r="P64" s="1"/>
  <c r="P251" i="6"/>
  <c r="X242"/>
  <c r="M235"/>
  <c r="N61" i="1" s="1"/>
  <c r="R54"/>
  <c r="O57"/>
  <c r="V82" i="6"/>
  <c r="U85"/>
  <c r="O63" i="1" l="1"/>
  <c r="M236" i="6"/>
  <c r="N62" i="1" s="1"/>
  <c r="Q56"/>
  <c r="Q64" s="1"/>
  <c r="Q224" i="6"/>
  <c r="Q251"/>
  <c r="Y242"/>
  <c r="N235"/>
  <c r="O61" i="1" s="1"/>
  <c r="S54"/>
  <c r="P57"/>
  <c r="W82" i="6"/>
  <c r="V85"/>
  <c r="N236" l="1"/>
  <c r="O62" i="1" s="1"/>
  <c r="P63"/>
  <c r="R224" i="6"/>
  <c r="R56" i="1"/>
  <c r="R64" s="1"/>
  <c r="R251" i="6"/>
  <c r="Z242"/>
  <c r="O235"/>
  <c r="P61" i="1" s="1"/>
  <c r="W85" i="6"/>
  <c r="X82"/>
  <c r="T54" i="1"/>
  <c r="Q57"/>
  <c r="Q63" l="1"/>
  <c r="O236" i="6"/>
  <c r="P62" i="1" s="1"/>
  <c r="S56"/>
  <c r="S64" s="1"/>
  <c r="S224" i="6"/>
  <c r="S251"/>
  <c r="AA242"/>
  <c r="P235"/>
  <c r="Q61" i="1" s="1"/>
  <c r="X85" i="6"/>
  <c r="Y82"/>
  <c r="U54" i="1"/>
  <c r="R57"/>
  <c r="R63" l="1"/>
  <c r="P236" i="6"/>
  <c r="Q62" i="1" s="1"/>
  <c r="T56"/>
  <c r="T64" s="1"/>
  <c r="T224" i="6"/>
  <c r="T251"/>
  <c r="AB242"/>
  <c r="Q235"/>
  <c r="R61" i="1" s="1"/>
  <c r="Y85" i="6"/>
  <c r="Z82"/>
  <c r="V54" i="1"/>
  <c r="S57"/>
  <c r="S60"/>
  <c r="S63" l="1"/>
  <c r="Q236" i="6"/>
  <c r="R62" i="1" s="1"/>
  <c r="U224" i="6"/>
  <c r="U56" i="1"/>
  <c r="U64" s="1"/>
  <c r="U251" i="6"/>
  <c r="R235"/>
  <c r="S61" i="1" s="1"/>
  <c r="T60"/>
  <c r="E60"/>
  <c r="F60"/>
  <c r="G60"/>
  <c r="H60"/>
  <c r="I60"/>
  <c r="J60"/>
  <c r="K60"/>
  <c r="L60"/>
  <c r="M60"/>
  <c r="N60"/>
  <c r="O60"/>
  <c r="P60"/>
  <c r="Q60"/>
  <c r="R60"/>
  <c r="G59"/>
  <c r="H59"/>
  <c r="I59"/>
  <c r="J59"/>
  <c r="K59"/>
  <c r="M59"/>
  <c r="N59"/>
  <c r="O59"/>
  <c r="P59"/>
  <c r="Q59"/>
  <c r="R59"/>
  <c r="S59"/>
  <c r="E59"/>
  <c r="F59"/>
  <c r="Z85" i="6"/>
  <c r="AA82"/>
  <c r="W54" i="1"/>
  <c r="T57"/>
  <c r="T63" l="1"/>
  <c r="R236" i="6"/>
  <c r="S62" i="1" s="1"/>
  <c r="V56"/>
  <c r="V64" s="1"/>
  <c r="V224" i="6"/>
  <c r="V251"/>
  <c r="S235"/>
  <c r="T61" i="1" s="1"/>
  <c r="T59"/>
  <c r="U60"/>
  <c r="AA85" i="6"/>
  <c r="AB82"/>
  <c r="AB85" s="1"/>
  <c r="X54" i="1"/>
  <c r="U57"/>
  <c r="E65"/>
  <c r="F65"/>
  <c r="I65"/>
  <c r="O65"/>
  <c r="G65"/>
  <c r="R65"/>
  <c r="Q65"/>
  <c r="J65"/>
  <c r="P65"/>
  <c r="K65"/>
  <c r="H65"/>
  <c r="N65"/>
  <c r="M65"/>
  <c r="S236" i="6" l="1"/>
  <c r="T62" i="1" s="1"/>
  <c r="W56"/>
  <c r="W64" s="1"/>
  <c r="W224" i="6"/>
  <c r="W251"/>
  <c r="T235"/>
  <c r="T236" s="1"/>
  <c r="U62" i="1" s="1"/>
  <c r="U63"/>
  <c r="Y54"/>
  <c r="S65"/>
  <c r="U59"/>
  <c r="V60"/>
  <c r="V57"/>
  <c r="V63" l="1"/>
  <c r="X224" i="6"/>
  <c r="X56" i="1"/>
  <c r="X64" s="1"/>
  <c r="X251" i="6"/>
  <c r="U61" i="1"/>
  <c r="Z54"/>
  <c r="T65"/>
  <c r="U235" i="6"/>
  <c r="V61" i="1" s="1"/>
  <c r="V59"/>
  <c r="W60"/>
  <c r="W57"/>
  <c r="W63" l="1"/>
  <c r="U236" i="6"/>
  <c r="V62" i="1" s="1"/>
  <c r="Y56"/>
  <c r="Y64" s="1"/>
  <c r="Y224" i="6"/>
  <c r="Y251"/>
  <c r="U65" i="1"/>
  <c r="AA54"/>
  <c r="V235" i="6"/>
  <c r="W61" i="1" s="1"/>
  <c r="W59"/>
  <c r="X60"/>
  <c r="X57"/>
  <c r="D88" i="6"/>
  <c r="E67" i="1" s="1"/>
  <c r="D67" i="6" s="1"/>
  <c r="D68" l="1"/>
  <c r="E68" i="1" s="1"/>
  <c r="X63"/>
  <c r="V236" i="6"/>
  <c r="W62" i="1" s="1"/>
  <c r="Z56"/>
  <c r="Z64" s="1"/>
  <c r="Z224" i="6"/>
  <c r="Z251"/>
  <c r="AB54" i="1"/>
  <c r="V65"/>
  <c r="W235" i="6"/>
  <c r="X61" i="1" s="1"/>
  <c r="X59"/>
  <c r="Y57"/>
  <c r="E88" i="6"/>
  <c r="F67" i="1" s="1"/>
  <c r="E67" i="6" s="1"/>
  <c r="F88"/>
  <c r="G67" i="1" s="1"/>
  <c r="F67" i="6" s="1"/>
  <c r="F68" s="1"/>
  <c r="G68" i="1" s="1"/>
  <c r="E68" i="6" l="1"/>
  <c r="F68" i="1" s="1"/>
  <c r="F70" s="1"/>
  <c r="W236" i="6"/>
  <c r="X62" i="1" s="1"/>
  <c r="AA224" i="6"/>
  <c r="AA56" i="1"/>
  <c r="AA64" s="1"/>
  <c r="AA251" i="6"/>
  <c r="X235"/>
  <c r="X236" s="1"/>
  <c r="Y62" i="1" s="1"/>
  <c r="Y63"/>
  <c r="AC54"/>
  <c r="W65"/>
  <c r="Z57"/>
  <c r="G88" i="6"/>
  <c r="H67" i="1" s="1"/>
  <c r="G67" i="6" s="1"/>
  <c r="G68" s="1"/>
  <c r="H68" i="1" s="1"/>
  <c r="Z63" l="1"/>
  <c r="AB56"/>
  <c r="AB64" s="1"/>
  <c r="AB224" i="6"/>
  <c r="AB251"/>
  <c r="Y61" i="1"/>
  <c r="X65"/>
  <c r="Y235" i="6"/>
  <c r="Z61" i="1" s="1"/>
  <c r="AA57"/>
  <c r="F71"/>
  <c r="E92" i="6"/>
  <c r="E94" s="1"/>
  <c r="E95" s="1"/>
  <c r="G70" i="1"/>
  <c r="G71"/>
  <c r="E71"/>
  <c r="E70"/>
  <c r="F92" i="6"/>
  <c r="F103" s="1"/>
  <c r="F104" s="1"/>
  <c r="D92"/>
  <c r="D106" s="1"/>
  <c r="H88"/>
  <c r="I67" i="1" s="1"/>
  <c r="H67" i="6" s="1"/>
  <c r="H68" s="1"/>
  <c r="I68" i="1" s="1"/>
  <c r="AA63" l="1"/>
  <c r="Y236" i="6"/>
  <c r="Z62" i="1" s="1"/>
  <c r="AC56"/>
  <c r="AC64" s="1"/>
  <c r="Y65"/>
  <c r="Z235" i="6"/>
  <c r="AA61" i="1" s="1"/>
  <c r="AB57"/>
  <c r="E106" i="6"/>
  <c r="E107" s="1"/>
  <c r="E97"/>
  <c r="E98" s="1"/>
  <c r="E100"/>
  <c r="E101" s="1"/>
  <c r="E103"/>
  <c r="E104" s="1"/>
  <c r="H70" i="1"/>
  <c r="H71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88"/>
  <c r="J67" i="1" s="1"/>
  <c r="I67" i="6" s="1"/>
  <c r="I68" s="1"/>
  <c r="J68" i="1" s="1"/>
  <c r="AB63" l="1"/>
  <c r="Z236" i="6"/>
  <c r="AA62" i="1" s="1"/>
  <c r="Z65"/>
  <c r="AA235" i="6"/>
  <c r="AB61" i="1" s="1"/>
  <c r="AC57"/>
  <c r="E110" i="6"/>
  <c r="I71" i="1"/>
  <c r="I70"/>
  <c r="F110" i="6"/>
  <c r="G106"/>
  <c r="G100"/>
  <c r="G101" s="1"/>
  <c r="G94"/>
  <c r="G95" s="1"/>
  <c r="G103"/>
  <c r="G104" s="1"/>
  <c r="G97"/>
  <c r="G98" s="1"/>
  <c r="H92"/>
  <c r="J88"/>
  <c r="K67" i="1" s="1"/>
  <c r="J67" i="6" s="1"/>
  <c r="J68" s="1"/>
  <c r="K68" i="1" s="1"/>
  <c r="D107" i="6"/>
  <c r="D110" s="1"/>
  <c r="D111" l="1"/>
  <c r="E69" i="1" s="1"/>
  <c r="E78" s="1"/>
  <c r="E81" s="1"/>
  <c r="F111" i="6"/>
  <c r="G69" i="1" s="1"/>
  <c r="G78" s="1"/>
  <c r="E111" i="6"/>
  <c r="F69" i="1" s="1"/>
  <c r="F78" s="1"/>
  <c r="AA236" i="6"/>
  <c r="AB62" i="1" s="1"/>
  <c r="AB235" i="6"/>
  <c r="AC61" i="1" s="1"/>
  <c r="AC63"/>
  <c r="AA65"/>
  <c r="J70"/>
  <c r="J71"/>
  <c r="G107" i="6"/>
  <c r="G110" s="1"/>
  <c r="K88"/>
  <c r="L67" i="1" s="1"/>
  <c r="H106" i="6"/>
  <c r="H94"/>
  <c r="H95" s="1"/>
  <c r="H100"/>
  <c r="H101" s="1"/>
  <c r="H97"/>
  <c r="H98" s="1"/>
  <c r="H103"/>
  <c r="H104" s="1"/>
  <c r="I92"/>
  <c r="G111" l="1"/>
  <c r="H69" i="1" s="1"/>
  <c r="H78" s="1"/>
  <c r="AB236" i="6"/>
  <c r="AB65" i="1"/>
  <c r="K71"/>
  <c r="K70"/>
  <c r="C114" i="6"/>
  <c r="F81" i="1"/>
  <c r="D114" i="6" s="1"/>
  <c r="H107"/>
  <c r="H110" s="1"/>
  <c r="J92"/>
  <c r="I94"/>
  <c r="I95" s="1"/>
  <c r="I97"/>
  <c r="I98" s="1"/>
  <c r="I100"/>
  <c r="I101" s="1"/>
  <c r="I106"/>
  <c r="I107" s="1"/>
  <c r="I103"/>
  <c r="I104" s="1"/>
  <c r="L88"/>
  <c r="M67" i="1" s="1"/>
  <c r="L67" i="6" s="1"/>
  <c r="L68" s="1"/>
  <c r="M68" i="1" s="1"/>
  <c r="H111" i="6" l="1"/>
  <c r="I69" i="1" s="1"/>
  <c r="I78" s="1"/>
  <c r="AC62"/>
  <c r="AC65" s="1"/>
  <c r="G81"/>
  <c r="I110" i="6"/>
  <c r="M88"/>
  <c r="N67" i="1" s="1"/>
  <c r="M67" i="6" s="1"/>
  <c r="M68" s="1"/>
  <c r="N68" i="1" s="1"/>
  <c r="J94" i="6"/>
  <c r="J95" s="1"/>
  <c r="J97"/>
  <c r="J98" s="1"/>
  <c r="J106"/>
  <c r="J103"/>
  <c r="J104" s="1"/>
  <c r="J100"/>
  <c r="J101" s="1"/>
  <c r="I111" l="1"/>
  <c r="J69" i="1" s="1"/>
  <c r="J78" s="1"/>
  <c r="E114" i="6"/>
  <c r="M71" i="1"/>
  <c r="M70"/>
  <c r="H81"/>
  <c r="L92" i="6"/>
  <c r="N88"/>
  <c r="O67" i="1" s="1"/>
  <c r="N67" i="6" s="1"/>
  <c r="N68" s="1"/>
  <c r="O68" i="1" s="1"/>
  <c r="J107" i="6"/>
  <c r="J110" s="1"/>
  <c r="J111" l="1"/>
  <c r="K69" i="1" s="1"/>
  <c r="K78" s="1"/>
  <c r="F114" i="6"/>
  <c r="N70" i="1"/>
  <c r="N71"/>
  <c r="I81"/>
  <c r="L106" i="6"/>
  <c r="L103"/>
  <c r="L104" s="1"/>
  <c r="L94"/>
  <c r="L95" s="1"/>
  <c r="L100"/>
  <c r="L101" s="1"/>
  <c r="L97"/>
  <c r="L98" s="1"/>
  <c r="M92"/>
  <c r="O88"/>
  <c r="P67" i="1" s="1"/>
  <c r="O67" i="6" s="1"/>
  <c r="O68" s="1"/>
  <c r="P68" i="1" s="1"/>
  <c r="G114" i="6" l="1"/>
  <c r="O70" i="1"/>
  <c r="O71"/>
  <c r="J81"/>
  <c r="L107" i="6"/>
  <c r="L110" s="1"/>
  <c r="N92"/>
  <c r="P88"/>
  <c r="Q67" i="1" s="1"/>
  <c r="P67" i="6" s="1"/>
  <c r="P68" s="1"/>
  <c r="Q68" i="1" s="1"/>
  <c r="M100" i="6"/>
  <c r="M101" s="1"/>
  <c r="M103"/>
  <c r="M104" s="1"/>
  <c r="M94"/>
  <c r="M95" s="1"/>
  <c r="M106"/>
  <c r="M97"/>
  <c r="M98" s="1"/>
  <c r="L111" l="1"/>
  <c r="M69" i="1" s="1"/>
  <c r="M78" s="1"/>
  <c r="H114" i="6"/>
  <c r="P70" i="1"/>
  <c r="P71"/>
  <c r="K81"/>
  <c r="M107" i="6"/>
  <c r="M110" s="1"/>
  <c r="Q88"/>
  <c r="R67" i="1" s="1"/>
  <c r="Q67" i="6" s="1"/>
  <c r="Q68" s="1"/>
  <c r="R68" i="1" s="1"/>
  <c r="N106" i="6"/>
  <c r="N100"/>
  <c r="N101" s="1"/>
  <c r="N97"/>
  <c r="N98" s="1"/>
  <c r="N103"/>
  <c r="N104" s="1"/>
  <c r="N94"/>
  <c r="N95" s="1"/>
  <c r="O92"/>
  <c r="M111" l="1"/>
  <c r="N69" i="1" s="1"/>
  <c r="N78" s="1"/>
  <c r="I114" i="6"/>
  <c r="Q71" i="1"/>
  <c r="Q70"/>
  <c r="N107" i="6"/>
  <c r="N110" s="1"/>
  <c r="O103"/>
  <c r="O104" s="1"/>
  <c r="O106"/>
  <c r="O107" s="1"/>
  <c r="O94"/>
  <c r="O95" s="1"/>
  <c r="O100"/>
  <c r="O101" s="1"/>
  <c r="O97"/>
  <c r="O98" s="1"/>
  <c r="P92"/>
  <c r="R88"/>
  <c r="S67" i="1" s="1"/>
  <c r="R67" i="6" s="1"/>
  <c r="R68" s="1"/>
  <c r="S68" i="1" s="1"/>
  <c r="N111" i="6" l="1"/>
  <c r="O69" i="1" s="1"/>
  <c r="O78" s="1"/>
  <c r="R71"/>
  <c r="R70"/>
  <c r="Q92" i="6"/>
  <c r="S88"/>
  <c r="T67" i="1" s="1"/>
  <c r="S67" i="6" s="1"/>
  <c r="S68" s="1"/>
  <c r="T68" i="1" s="1"/>
  <c r="P106" i="6"/>
  <c r="P107" s="1"/>
  <c r="P97"/>
  <c r="P98" s="1"/>
  <c r="P94"/>
  <c r="P95" s="1"/>
  <c r="P100"/>
  <c r="P101" s="1"/>
  <c r="P103"/>
  <c r="P104" s="1"/>
  <c r="O110"/>
  <c r="O111" l="1"/>
  <c r="P69" i="1" s="1"/>
  <c r="P78" s="1"/>
  <c r="S70"/>
  <c r="S71"/>
  <c r="P110" i="6"/>
  <c r="Q106"/>
  <c r="Q107" s="1"/>
  <c r="Q100"/>
  <c r="Q101" s="1"/>
  <c r="Q94"/>
  <c r="Q95" s="1"/>
  <c r="Q97"/>
  <c r="Q98" s="1"/>
  <c r="Q103"/>
  <c r="Q104" s="1"/>
  <c r="R92"/>
  <c r="T88"/>
  <c r="U67" i="1" s="1"/>
  <c r="T67" i="6" s="1"/>
  <c r="T68" s="1"/>
  <c r="U68" i="1" s="1"/>
  <c r="P111" i="6" l="1"/>
  <c r="Q69" i="1" s="1"/>
  <c r="Q78" s="1"/>
  <c r="T71"/>
  <c r="T70"/>
  <c r="S92" i="6"/>
  <c r="R106"/>
  <c r="R107" s="1"/>
  <c r="R103"/>
  <c r="R104" s="1"/>
  <c r="R94"/>
  <c r="R95" s="1"/>
  <c r="R97"/>
  <c r="R98" s="1"/>
  <c r="R100"/>
  <c r="R101" s="1"/>
  <c r="U88"/>
  <c r="V67" i="1" s="1"/>
  <c r="U67" i="6" s="1"/>
  <c r="U68" s="1"/>
  <c r="V68" i="1" s="1"/>
  <c r="Q110" i="6"/>
  <c r="Q111" l="1"/>
  <c r="R69" i="1" s="1"/>
  <c r="R78" s="1"/>
  <c r="U70"/>
  <c r="U71"/>
  <c r="S106" i="6"/>
  <c r="S107" s="1"/>
  <c r="S97"/>
  <c r="S98" s="1"/>
  <c r="S94"/>
  <c r="S95" s="1"/>
  <c r="S103"/>
  <c r="S104" s="1"/>
  <c r="S100"/>
  <c r="S101" s="1"/>
  <c r="V88"/>
  <c r="W67" i="1" s="1"/>
  <c r="V67" i="6" s="1"/>
  <c r="V68" s="1"/>
  <c r="W68" i="1" s="1"/>
  <c r="T92" i="6"/>
  <c r="R110"/>
  <c r="R111" l="1"/>
  <c r="S69" i="1" s="1"/>
  <c r="S78" s="1"/>
  <c r="V70"/>
  <c r="V71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69" i="1" s="1"/>
  <c r="T78" s="1"/>
  <c r="Y67"/>
  <c r="X67" i="6" s="1"/>
  <c r="X68" s="1"/>
  <c r="Y68" i="1" s="1"/>
  <c r="W70"/>
  <c r="W71"/>
  <c r="X67"/>
  <c r="W67" i="6" s="1"/>
  <c r="W68" s="1"/>
  <c r="X68" i="1" s="1"/>
  <c r="U106" i="6"/>
  <c r="U107" s="1"/>
  <c r="U97"/>
  <c r="U98" s="1"/>
  <c r="U94"/>
  <c r="U95" s="1"/>
  <c r="U103"/>
  <c r="U104" s="1"/>
  <c r="U100"/>
  <c r="U101" s="1"/>
  <c r="V92"/>
  <c r="T110"/>
  <c r="T111" l="1"/>
  <c r="U69" i="1" s="1"/>
  <c r="U78" s="1"/>
  <c r="Y70"/>
  <c r="X70"/>
  <c r="Z67"/>
  <c r="Y67" i="6" s="1"/>
  <c r="Y68" s="1"/>
  <c r="Z68" i="1" s="1"/>
  <c r="V106" i="6"/>
  <c r="V107" s="1"/>
  <c r="V100"/>
  <c r="V101" s="1"/>
  <c r="V97"/>
  <c r="V98" s="1"/>
  <c r="V94"/>
  <c r="V95" s="1"/>
  <c r="V103"/>
  <c r="V104" s="1"/>
  <c r="U110"/>
  <c r="U111" l="1"/>
  <c r="V69" i="1" s="1"/>
  <c r="V78" s="1"/>
  <c r="W92" i="6"/>
  <c r="W97" s="1"/>
  <c r="W98" s="1"/>
  <c r="X71" i="1"/>
  <c r="Y71"/>
  <c r="X92" i="6"/>
  <c r="X97" s="1"/>
  <c r="X98" s="1"/>
  <c r="Z70" i="1"/>
  <c r="AA67"/>
  <c r="Z67" i="6" s="1"/>
  <c r="Z68" s="1"/>
  <c r="AA68" i="1" s="1"/>
  <c r="V110" i="6"/>
  <c r="V111" l="1"/>
  <c r="W69" i="1" s="1"/>
  <c r="W78" s="1"/>
  <c r="X94" i="6"/>
  <c r="X95" s="1"/>
  <c r="W106"/>
  <c r="W107" s="1"/>
  <c r="X100"/>
  <c r="X101" s="1"/>
  <c r="W103"/>
  <c r="W104" s="1"/>
  <c r="X103"/>
  <c r="X104" s="1"/>
  <c r="Y92"/>
  <c r="Y106" s="1"/>
  <c r="Y107" s="1"/>
  <c r="Z71" i="1"/>
  <c r="W100" i="6"/>
  <c r="W101" s="1"/>
  <c r="X106"/>
  <c r="X107" s="1"/>
  <c r="W94"/>
  <c r="W95" s="1"/>
  <c r="AB67" i="1"/>
  <c r="AA67" i="6" s="1"/>
  <c r="AA68" s="1"/>
  <c r="AB68" i="1" s="1"/>
  <c r="AC67"/>
  <c r="AB67" i="6" s="1"/>
  <c r="AB68" s="1"/>
  <c r="AC68" i="1" s="1"/>
  <c r="AA71" l="1"/>
  <c r="AA70"/>
  <c r="X110" i="6"/>
  <c r="Y103"/>
  <c r="Y104" s="1"/>
  <c r="Y94"/>
  <c r="Y95" s="1"/>
  <c r="W110"/>
  <c r="Y97"/>
  <c r="Y98" s="1"/>
  <c r="Y100"/>
  <c r="Y101" s="1"/>
  <c r="AB70" i="1"/>
  <c r="Z92" i="6"/>
  <c r="Z103" s="1"/>
  <c r="Z104" s="1"/>
  <c r="AC70" i="1"/>
  <c r="X111" i="6" l="1"/>
  <c r="Y69" i="1" s="1"/>
  <c r="Y78" s="1"/>
  <c r="W111" i="6"/>
  <c r="X69" i="1" s="1"/>
  <c r="X78" s="1"/>
  <c r="Z106" i="6"/>
  <c r="Z107" s="1"/>
  <c r="Z97"/>
  <c r="Z98" s="1"/>
  <c r="Y110"/>
  <c r="Z94"/>
  <c r="Z95" s="1"/>
  <c r="Z100"/>
  <c r="Z101" s="1"/>
  <c r="AA92"/>
  <c r="AA106" s="1"/>
  <c r="AA107" s="1"/>
  <c r="AB71" i="1"/>
  <c r="AC71"/>
  <c r="AB92" i="6"/>
  <c r="AB103" s="1"/>
  <c r="AB104" s="1"/>
  <c r="Y111" l="1"/>
  <c r="Z69" i="1" s="1"/>
  <c r="Z78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69" i="1" s="1"/>
  <c r="AA78" s="1"/>
  <c r="AB110" i="6"/>
  <c r="AA110"/>
  <c r="AB111" l="1"/>
  <c r="AC69" i="1" s="1"/>
  <c r="AC78" s="1"/>
  <c r="AA111" i="6"/>
  <c r="AB69" i="1" s="1"/>
  <c r="AB78" s="1"/>
  <c r="L57"/>
  <c r="L59" s="1"/>
  <c r="L63" l="1"/>
  <c r="K235" i="6"/>
  <c r="L61" i="1" s="1"/>
  <c r="K67" i="6" l="1"/>
  <c r="K236"/>
  <c r="L62" i="1" s="1"/>
  <c r="K68" i="6" l="1"/>
  <c r="L68" i="1" s="1"/>
  <c r="L65"/>
  <c r="K92" i="6" l="1"/>
  <c r="K103" s="1"/>
  <c r="K104" s="1"/>
  <c r="L71" i="1"/>
  <c r="L70"/>
  <c r="K94" i="6" l="1"/>
  <c r="K95" s="1"/>
  <c r="K97"/>
  <c r="K98" s="1"/>
  <c r="K106"/>
  <c r="K107" s="1"/>
  <c r="K100"/>
  <c r="K101" s="1"/>
  <c r="K110" l="1"/>
  <c r="K111" s="1"/>
  <c r="L69" i="1" s="1"/>
  <c r="L78" s="1"/>
  <c r="L81" s="1"/>
  <c r="J114" i="6" s="1"/>
  <c r="M81" i="1" l="1"/>
  <c r="N81" s="1"/>
  <c r="O81" s="1"/>
  <c r="M114" i="6" s="1"/>
  <c r="P81" i="1" l="1"/>
  <c r="Q81" s="1"/>
  <c r="R81" s="1"/>
  <c r="L114" i="6"/>
  <c r="K114"/>
  <c r="O114" l="1"/>
  <c r="N114"/>
  <c r="P114"/>
  <c r="S81" i="1"/>
  <c r="T81" l="1"/>
  <c r="Q114" i="6"/>
  <c r="R114" l="1"/>
  <c r="U81" i="1"/>
  <c r="S114" i="6" l="1"/>
  <c r="V81" i="1"/>
  <c r="T114" i="6" l="1"/>
  <c r="W81" i="1"/>
  <c r="X81" l="1"/>
  <c r="U114" i="6"/>
  <c r="I39" i="1" l="1"/>
  <c r="Y81"/>
  <c r="Z81" s="1"/>
  <c r="AA81" s="1"/>
  <c r="AB81" s="1"/>
  <c r="AC81" s="1"/>
  <c r="I40" s="1"/>
  <c r="V114" i="6"/>
</calcChain>
</file>

<file path=xl/sharedStrings.xml><?xml version="1.0" encoding="utf-8"?>
<sst xmlns="http://schemas.openxmlformats.org/spreadsheetml/2006/main" count="403" uniqueCount="189">
  <si>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</si>
  <si>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</si>
  <si>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</si>
  <si>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</si>
  <si>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</si>
  <si>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</si>
  <si>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</si>
  <si>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</si>
  <si>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</si>
  <si>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</si>
  <si>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</si>
  <si>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</si>
  <si>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</si>
  <si>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</si>
  <si>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</si>
  <si>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</si>
  <si>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</si>
  <si>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</si>
  <si>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</si>
  <si>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</si>
  <si>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</si>
  <si>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</si>
  <si>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</si>
  <si>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</si>
  <si>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</si>
  <si>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</si>
  <si>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</si>
  <si>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</si>
  <si>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</si>
  <si>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</si>
  <si>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</si>
  <si>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</si>
  <si>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</si>
  <si>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</si>
  <si>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</si>
  <si>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</si>
  <si>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</si>
  <si>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</si>
  <si>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</si>
  <si>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</si>
  <si>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</si>
  <si>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</si>
  <si>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</si>
  <si>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</si>
  <si>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</si>
  <si>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</si>
  <si>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</si>
  <si>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</si>
  <si>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</si>
  <si>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</si>
  <si>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</si>
  <si>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</si>
  <si>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</si>
  <si>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</si>
  <si>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</si>
  <si>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</si>
  <si>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</si>
  <si>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</si>
  <si>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</si>
  <si>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</si>
  <si>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</si>
  <si>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</si>
  <si>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</si>
  <si>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</si>
  <si>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</si>
  <si>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</si>
  <si>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</si>
  <si>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</si>
  <si>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</si>
  <si>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</si>
  <si>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</si>
  <si>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</si>
  <si>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</si>
  <si>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</si>
  <si>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</si>
  <si>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</si>
  <si>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</si>
  <si>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</si>
  <si>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</si>
  <si>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</si>
  <si>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</si>
  <si>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</si>
  <si>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</si>
  <si>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</si>
  <si>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</si>
  <si>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</si>
  <si>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</si>
  <si>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</si>
  <si>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</si>
  <si>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</si>
  <si>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</si>
  <si>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</si>
  <si>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</si>
  <si>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</si>
  <si>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</si>
  <si>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</si>
  <si>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</si>
  <si>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</si>
  <si>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</si>
  <si>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</si>
  <si>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</si>
  <si>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</si>
  <si>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</si>
  <si>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</si>
  <si>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</si>
  <si>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</si>
  <si>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</si>
  <si>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</si>
  <si>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</si>
  <si>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</si>
  <si>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</si>
  <si>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</si>
  <si>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</si>
  <si>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</si>
  <si>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</si>
  <si>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</si>
  <si>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</si>
  <si>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</si>
  <si>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</si>
  <si>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</si>
  <si>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</si>
  <si>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</si>
  <si>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</si>
  <si>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</si>
  <si>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</si>
  <si>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</si>
  <si>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</si>
  <si>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</si>
  <si>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</si>
  <si>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</si>
  <si>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</si>
  <si>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</si>
  <si>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</si>
  <si>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</si>
  <si>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</si>
  <si>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</si>
  <si>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</si>
  <si>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</si>
  <si>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</si>
  <si>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</si>
  <si>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</si>
  <si>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</si>
  <si>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</si>
  <si>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</si>
  <si>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</si>
  <si>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</si>
  <si>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</si>
  <si>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</si>
  <si>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</si>
  <si>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</si>
  <si>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</si>
  <si>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</si>
  <si>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</si>
  <si>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</si>
  <si>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</si>
  <si>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</si>
  <si>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</si>
  <si>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</si>
  <si>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</si>
  <si>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</si>
  <si>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</si>
  <si>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</si>
  <si>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</si>
  <si>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</si>
  <si>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</si>
  <si>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</si>
  <si>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</si>
  <si>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</si>
  <si>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</si>
  <si>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</si>
  <si>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</si>
  <si>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</si>
  <si>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</si>
  <si>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</si>
  <si>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</si>
  <si>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</si>
  <si>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</si>
  <si>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</si>
  <si>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</si>
  <si>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</si>
  <si>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Applicare Autoconsumo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</si>
  <si>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</si>
  <si>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</si>
  <si>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</si>
  <si>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</si>
  <si>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</si>
  <si>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</si>
  <si>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</si>
  <si>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PV-Xcel 6.3 -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</si>
</sst>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25" xfId="0" applyFont="1" applyBorder="1" applyProtection="1"/>
    <xf numFmtId="0" fontId="1" fillId="0" borderId="14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18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6.3'!$E$81:$AC$81</c:f>
              <c:numCache>
                <c:formatCode>"€"\ #,##0</c:formatCode>
                <c:ptCount val="25"/>
                <c:pt idx="0">
                  <c:v>-3872.1027000000004</c:v>
                </c:pt>
                <c:pt idx="1">
                  <c:v>-3399.6142816000001</c:v>
                </c:pt>
                <c:pt idx="2">
                  <c:v>-2919.8527113324799</c:v>
                </c:pt>
                <c:pt idx="3">
                  <c:v>-2432.0739327602691</c:v>
                </c:pt>
                <c:pt idx="4">
                  <c:v>-1935.489264295604</c:v>
                </c:pt>
                <c:pt idx="5">
                  <c:v>-1429.2626384064752</c:v>
                </c:pt>
                <c:pt idx="6">
                  <c:v>-912.50767255371954</c:v>
                </c:pt>
                <c:pt idx="7">
                  <c:v>-384.28456161497502</c:v>
                </c:pt>
                <c:pt idx="8">
                  <c:v>156.40321907142638</c:v>
                </c:pt>
                <c:pt idx="9">
                  <c:v>710.61241157048403</c:v>
                </c:pt>
                <c:pt idx="10">
                  <c:v>1279.4636863514534</c:v>
                </c:pt>
                <c:pt idx="11">
                  <c:v>1831.9455793984046</c:v>
                </c:pt>
                <c:pt idx="12">
                  <c:v>2350.9186691921304</c:v>
                </c:pt>
                <c:pt idx="13">
                  <c:v>2888.3200081620721</c:v>
                </c:pt>
                <c:pt idx="14">
                  <c:v>3445.5678240947859</c:v>
                </c:pt>
                <c:pt idx="15">
                  <c:v>4024.1665079272984</c:v>
                </c:pt>
                <c:pt idx="16">
                  <c:v>4625.7119053528104</c:v>
                </c:pt>
                <c:pt idx="17">
                  <c:v>5251.8969307260541</c:v>
                </c:pt>
                <c:pt idx="18">
                  <c:v>5907.1439985453717</c:v>
                </c:pt>
                <c:pt idx="19">
                  <c:v>6599.8627684263874</c:v>
                </c:pt>
                <c:pt idx="20">
                  <c:v>7183.2255501194259</c:v>
                </c:pt>
                <c:pt idx="21">
                  <c:v>7804.4514273394007</c:v>
                </c:pt>
                <c:pt idx="22">
                  <c:v>8465.8424762943505</c:v>
                </c:pt>
                <c:pt idx="23">
                  <c:v>9169.8407394257592</c:v>
                </c:pt>
                <c:pt idx="24">
                  <c:v>9919.0367353555594</c:v>
                </c:pt>
              </c:numCache>
            </c:numRef>
          </c:val>
        </c:ser>
        <c:axId val="62076800"/>
        <c:axId val="62078336"/>
      </c:barChart>
      <c:catAx>
        <c:axId val="62076800"/>
        <c:scaling>
          <c:orientation val="minMax"/>
        </c:scaling>
        <c:axPos val="b"/>
        <c:tickLblPos val="low"/>
        <c:crossAx val="62078336"/>
        <c:crosses val="autoZero"/>
        <c:auto val="1"/>
        <c:lblAlgn val="ctr"/>
        <c:lblOffset val="100"/>
      </c:catAx>
      <c:valAx>
        <c:axId val="62078336"/>
        <c:scaling>
          <c:orientation val="minMax"/>
        </c:scaling>
        <c:axPos val="l"/>
        <c:majorGridlines/>
        <c:numFmt formatCode="&quot;€&quot;\ #,##0" sourceLinked="1"/>
        <c:tickLblPos val="nextTo"/>
        <c:crossAx val="62076800"/>
        <c:crosses val="autoZero"/>
        <c:crossBetween val="between"/>
      </c:valAx>
    </c:plotArea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47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7"/>
  <sheetViews>
    <sheetView tabSelected="1" zoomScale="82" zoomScaleNormal="82" workbookViewId="0">
      <selection activeCell="C32" sqref="C32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22" s="1" customFormat="1" ht="19.5" thickBot="1">
      <c r="A1" s="196" t="s">
        <v>188</v>
      </c>
      <c r="B1" s="197"/>
      <c r="C1" s="197"/>
      <c r="D1" s="197"/>
      <c r="E1" s="197"/>
      <c r="F1" s="197"/>
      <c r="G1" s="198"/>
    </row>
    <row r="2" spans="1:22" ht="13.5" customHeight="1" thickBot="1"/>
    <row r="3" spans="1:22" ht="16.5" thickBot="1">
      <c r="A3" s="8" t="s">
        <v>137</v>
      </c>
      <c r="B3" s="9"/>
      <c r="C3" s="122">
        <v>3</v>
      </c>
      <c r="D3" s="10" t="s">
        <v>12</v>
      </c>
      <c r="H3" s="169"/>
      <c r="I3" s="170" t="s">
        <v>64</v>
      </c>
      <c r="J3" s="170"/>
      <c r="K3" s="171"/>
      <c r="L3" s="170" t="s">
        <v>65</v>
      </c>
      <c r="M3" s="137"/>
      <c r="N3" s="168"/>
      <c r="O3" s="21"/>
      <c r="P3" s="21"/>
      <c r="Q3" s="21"/>
    </row>
    <row r="4" spans="1:22" ht="16.5" thickBot="1">
      <c r="A4" s="8" t="s">
        <v>136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95"/>
      <c r="K5" s="95"/>
      <c r="L5" s="95"/>
    </row>
    <row r="6" spans="1:22" ht="15.75" customHeight="1">
      <c r="A6" s="13"/>
      <c r="B6" s="14"/>
      <c r="C6" s="14"/>
      <c r="D6" s="14"/>
      <c r="E6" s="15"/>
      <c r="F6" s="16"/>
      <c r="H6" s="96"/>
      <c r="I6" s="97"/>
      <c r="J6" s="98"/>
      <c r="K6" s="98"/>
      <c r="L6" s="99"/>
      <c r="M6" s="15"/>
      <c r="N6" s="15"/>
      <c r="O6" s="16"/>
      <c r="Q6" s="182" t="s">
        <v>181</v>
      </c>
      <c r="R6" s="15"/>
      <c r="S6" s="15"/>
      <c r="T6" s="15"/>
      <c r="U6" s="15"/>
      <c r="V6" s="16"/>
    </row>
    <row r="7" spans="1:22" ht="18.75">
      <c r="A7" s="202" t="s">
        <v>14</v>
      </c>
      <c r="B7" s="203"/>
      <c r="C7" s="203"/>
      <c r="D7" s="11"/>
      <c r="E7" s="2"/>
      <c r="F7" s="7"/>
      <c r="H7" s="22" t="s">
        <v>92</v>
      </c>
      <c r="I7" s="2"/>
      <c r="J7" s="2"/>
      <c r="K7" s="2"/>
      <c r="L7" s="2"/>
      <c r="M7" s="2"/>
      <c r="N7" s="2"/>
      <c r="O7" s="7"/>
      <c r="Q7" s="183"/>
      <c r="R7" s="184"/>
      <c r="S7" s="184"/>
      <c r="T7" s="184"/>
      <c r="U7" s="184"/>
      <c r="V7" s="185"/>
    </row>
    <row r="8" spans="1:22" ht="18.75">
      <c r="A8" s="125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186" t="s">
        <v>182</v>
      </c>
      <c r="R8" s="187"/>
      <c r="S8" s="187"/>
      <c r="T8" s="187"/>
      <c r="U8" s="187"/>
      <c r="V8" s="185"/>
    </row>
    <row r="9" spans="1:22" ht="18.75">
      <c r="A9" s="202" t="s">
        <v>13</v>
      </c>
      <c r="B9" s="203"/>
      <c r="C9" s="203"/>
      <c r="D9" s="11"/>
      <c r="E9" s="2"/>
      <c r="F9" s="7"/>
      <c r="H9" s="22" t="s">
        <v>86</v>
      </c>
      <c r="I9" s="2"/>
      <c r="J9" s="2"/>
      <c r="K9" s="129">
        <v>9</v>
      </c>
      <c r="L9" s="2" t="s">
        <v>61</v>
      </c>
      <c r="M9" s="2"/>
      <c r="N9" s="12"/>
      <c r="O9" s="7"/>
      <c r="Q9" s="186" t="s">
        <v>183</v>
      </c>
      <c r="R9" s="187"/>
      <c r="S9" s="187"/>
      <c r="T9" s="187"/>
      <c r="U9" s="187"/>
      <c r="V9" s="185"/>
    </row>
    <row r="10" spans="1:22" ht="18.75">
      <c r="A10" s="125"/>
      <c r="B10" s="11"/>
      <c r="C10" s="11"/>
      <c r="D10" s="11"/>
      <c r="E10" s="2"/>
      <c r="F10" s="7"/>
      <c r="H10" s="22"/>
      <c r="I10" s="2"/>
      <c r="J10" s="2"/>
      <c r="K10" s="103"/>
      <c r="L10" s="2"/>
      <c r="M10" s="2"/>
      <c r="N10" s="2"/>
      <c r="O10" s="7"/>
      <c r="Q10" s="186" t="s">
        <v>184</v>
      </c>
      <c r="R10" s="187"/>
      <c r="S10" s="187"/>
      <c r="T10" s="187"/>
      <c r="U10" s="187"/>
      <c r="V10" s="188"/>
    </row>
    <row r="11" spans="1:22" ht="18.75">
      <c r="A11" s="125" t="s">
        <v>122</v>
      </c>
      <c r="B11" s="11"/>
      <c r="C11" s="11"/>
      <c r="D11" s="11"/>
      <c r="E11" s="2"/>
      <c r="F11" s="7"/>
      <c r="H11" s="22"/>
      <c r="I11" s="2"/>
      <c r="J11" s="2"/>
      <c r="K11" s="103"/>
      <c r="L11" s="2"/>
      <c r="M11" s="2"/>
      <c r="N11" s="2"/>
      <c r="O11" s="7"/>
      <c r="Q11" s="186" t="s">
        <v>185</v>
      </c>
      <c r="R11" s="187"/>
      <c r="S11" s="187"/>
      <c r="T11" s="187"/>
      <c r="U11" s="187"/>
      <c r="V11" s="188"/>
    </row>
    <row r="12" spans="1:22" ht="18.75">
      <c r="A12" s="125"/>
      <c r="B12" s="11"/>
      <c r="C12" s="11"/>
      <c r="D12" s="11"/>
      <c r="E12" s="2"/>
      <c r="F12" s="7"/>
      <c r="H12" s="22"/>
      <c r="I12" s="2"/>
      <c r="J12" s="2"/>
      <c r="K12" s="103"/>
      <c r="L12" s="2"/>
      <c r="M12" s="2"/>
      <c r="N12" s="2"/>
      <c r="O12" s="7"/>
      <c r="Q12" s="186" t="s">
        <v>186</v>
      </c>
      <c r="R12" s="187"/>
      <c r="S12" s="187"/>
      <c r="T12" s="187"/>
      <c r="U12" s="187"/>
      <c r="V12" s="188"/>
    </row>
    <row r="13" spans="1:22" ht="18.75">
      <c r="A13" s="202" t="s">
        <v>121</v>
      </c>
      <c r="B13" s="203"/>
      <c r="C13" s="203"/>
      <c r="D13" s="11"/>
      <c r="E13" s="2"/>
      <c r="F13" s="7"/>
      <c r="H13" s="22" t="s">
        <v>97</v>
      </c>
      <c r="I13" s="2"/>
      <c r="J13" s="2"/>
      <c r="K13" s="130"/>
      <c r="L13" s="113">
        <v>23</v>
      </c>
      <c r="M13" s="2" t="s">
        <v>61</v>
      </c>
      <c r="N13" s="2"/>
      <c r="O13" s="7"/>
      <c r="Q13" s="186" t="s">
        <v>187</v>
      </c>
      <c r="R13" s="187"/>
      <c r="S13" s="187"/>
      <c r="T13" s="187"/>
      <c r="U13" s="187"/>
      <c r="V13" s="188"/>
    </row>
    <row r="14" spans="1:22" ht="18.75">
      <c r="A14" s="22"/>
      <c r="B14" s="2"/>
      <c r="C14" s="2"/>
      <c r="D14" s="2"/>
      <c r="E14" s="2"/>
      <c r="F14" s="7"/>
      <c r="H14" s="22" t="s">
        <v>98</v>
      </c>
      <c r="I14" s="2"/>
      <c r="J14" s="2"/>
      <c r="K14" s="130"/>
      <c r="L14" s="113">
        <v>27</v>
      </c>
      <c r="M14" s="2" t="s">
        <v>61</v>
      </c>
      <c r="N14" s="2"/>
      <c r="O14" s="7"/>
      <c r="Q14" s="189"/>
      <c r="R14" s="190"/>
      <c r="S14" s="190"/>
      <c r="T14" s="190"/>
      <c r="U14" s="190"/>
      <c r="V14" s="191"/>
    </row>
    <row r="15" spans="1:22" ht="19.5" thickBot="1">
      <c r="A15" s="202" t="s">
        <v>76</v>
      </c>
      <c r="B15" s="203"/>
      <c r="C15" s="203"/>
      <c r="D15" s="11"/>
      <c r="E15" s="2"/>
      <c r="F15" s="7"/>
      <c r="H15" s="22" t="s">
        <v>99</v>
      </c>
      <c r="I15" s="2"/>
      <c r="J15" s="2"/>
      <c r="K15" s="130"/>
      <c r="L15" s="113">
        <v>38</v>
      </c>
      <c r="M15" s="2" t="s">
        <v>61</v>
      </c>
      <c r="N15" s="2"/>
      <c r="O15" s="7"/>
      <c r="Q15" s="192"/>
      <c r="R15" s="193"/>
      <c r="S15" s="193"/>
      <c r="T15" s="193"/>
      <c r="U15" s="193"/>
      <c r="V15" s="194"/>
    </row>
    <row r="16" spans="1:22" ht="18.75">
      <c r="A16" s="22"/>
      <c r="B16" s="2"/>
      <c r="C16" s="2"/>
      <c r="D16" s="2"/>
      <c r="E16" s="2"/>
      <c r="F16" s="7"/>
      <c r="H16" s="22" t="s">
        <v>100</v>
      </c>
      <c r="I16" s="2"/>
      <c r="J16" s="2"/>
      <c r="K16" s="130"/>
      <c r="L16" s="113">
        <v>41</v>
      </c>
      <c r="M16" s="2" t="s">
        <v>61</v>
      </c>
      <c r="N16" s="2"/>
      <c r="O16" s="7"/>
      <c r="Q16" s="195"/>
      <c r="R16" s="195"/>
      <c r="S16" s="195"/>
      <c r="T16" s="195"/>
      <c r="U16" s="195"/>
      <c r="V16" s="195"/>
    </row>
    <row r="17" spans="1:22" ht="18.75">
      <c r="A17" s="24"/>
      <c r="B17" s="25"/>
      <c r="C17" s="25"/>
      <c r="D17" s="2"/>
      <c r="E17" s="2"/>
      <c r="F17" s="7"/>
      <c r="H17" s="22" t="s">
        <v>101</v>
      </c>
      <c r="I17" s="2"/>
      <c r="J17" s="2"/>
      <c r="K17" s="130"/>
      <c r="L17" s="113">
        <v>43</v>
      </c>
      <c r="M17" s="2" t="s">
        <v>61</v>
      </c>
      <c r="N17" s="2"/>
      <c r="O17" s="7"/>
      <c r="Q17" s="195"/>
      <c r="R17" s="195"/>
      <c r="S17" s="195"/>
      <c r="T17" s="195"/>
      <c r="U17" s="195"/>
      <c r="V17" s="195"/>
    </row>
    <row r="18" spans="1:22" ht="18.75">
      <c r="A18" s="202" t="s">
        <v>18</v>
      </c>
      <c r="B18" s="203"/>
      <c r="C18" s="203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81"/>
    </row>
    <row r="19" spans="1:22" ht="18.75">
      <c r="A19" s="22"/>
      <c r="B19" s="2"/>
      <c r="C19" s="2"/>
      <c r="D19" s="2"/>
      <c r="E19" s="2"/>
      <c r="F19" s="7"/>
      <c r="H19" s="101" t="s">
        <v>93</v>
      </c>
      <c r="I19" s="2"/>
      <c r="J19" s="2"/>
      <c r="K19" s="113">
        <v>3.9</v>
      </c>
      <c r="L19" s="2" t="s">
        <v>61</v>
      </c>
      <c r="M19" s="2"/>
      <c r="N19" s="2"/>
      <c r="O19" s="7"/>
      <c r="Q19" s="181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81"/>
    </row>
    <row r="21" spans="1:22" ht="17.25" customHeight="1">
      <c r="A21" s="22"/>
      <c r="B21" s="2"/>
      <c r="C21" s="2"/>
      <c r="D21" s="2"/>
      <c r="E21" s="2"/>
      <c r="F21" s="7"/>
      <c r="H21" s="101" t="s">
        <v>115</v>
      </c>
      <c r="I21" s="2"/>
      <c r="J21" s="2"/>
      <c r="K21" s="113">
        <v>27.5</v>
      </c>
      <c r="L21" s="2" t="s">
        <v>61</v>
      </c>
      <c r="M21" s="2"/>
      <c r="N21" s="2"/>
      <c r="O21" s="7"/>
      <c r="Q21" s="181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17" t="s">
        <v>22</v>
      </c>
      <c r="E24" s="119" t="s">
        <v>21</v>
      </c>
      <c r="F24" s="30" t="s">
        <v>23</v>
      </c>
      <c r="H24" s="204" t="s">
        <v>96</v>
      </c>
      <c r="I24" s="205"/>
      <c r="J24" s="205"/>
      <c r="K24" s="205"/>
      <c r="L24" s="205"/>
      <c r="M24" s="205"/>
      <c r="N24" s="205"/>
      <c r="O24" s="206"/>
    </row>
    <row r="25" spans="1:22">
      <c r="A25" s="31" t="s">
        <v>19</v>
      </c>
      <c r="B25" s="32"/>
      <c r="C25" s="33"/>
      <c r="D25" s="118">
        <f>IF(Calcoli!D1&lt;6,E25+F25,0)</f>
        <v>228</v>
      </c>
      <c r="E25" s="120">
        <f>Calcoli!H19+Calcoli!H29+Calcoli!H39+Calcoli!H51+Calcoli!H65+Calcoli!N19+Calcoli!N29+Calcoli!N39+Calcoli!N51+Calcoli!N65+Calcoli!H129+Calcoli!H139+Calcoli!H149+Calcoli!H161+Calcoli!H175+Calcoli!H187+Calcoli!H194+Calcoli!H202+Calcoli!H210+Calcoli!H218</f>
        <v>208</v>
      </c>
      <c r="F25" s="34">
        <f>IF(Calcoli!$H$9&lt;3,Calcoli!$R$27,0)</f>
        <v>20</v>
      </c>
      <c r="H25" s="207"/>
      <c r="I25" s="208"/>
      <c r="J25" s="208"/>
      <c r="K25" s="208"/>
      <c r="L25" s="208"/>
      <c r="M25" s="208"/>
      <c r="N25" s="208"/>
      <c r="O25" s="209"/>
    </row>
    <row r="26" spans="1:22" ht="15.75" thickBot="1">
      <c r="A26" s="38" t="s">
        <v>20</v>
      </c>
      <c r="B26" s="39"/>
      <c r="C26" s="40"/>
      <c r="D26" s="118">
        <f>IF(Calcoli!D1&lt;6,E26+F26,0)</f>
        <v>146</v>
      </c>
      <c r="E26" s="121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126</v>
      </c>
      <c r="F26" s="41">
        <f>IF(Calcoli!$H$9&lt;3,Calcoli!$R$27,0)</f>
        <v>20</v>
      </c>
    </row>
    <row r="27" spans="1:22" ht="12.75" customHeight="1">
      <c r="A27" s="43"/>
      <c r="B27" s="2"/>
      <c r="C27" s="2"/>
      <c r="D27" s="44"/>
      <c r="E27" s="127"/>
      <c r="F27" s="127"/>
      <c r="S27" s="100"/>
    </row>
    <row r="28" spans="1:22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0"/>
    </row>
    <row r="29" spans="1:22" s="46" customFormat="1" ht="22.5" customHeight="1">
      <c r="A29" s="74" t="s">
        <v>36</v>
      </c>
      <c r="B29" s="131"/>
      <c r="C29" s="106">
        <v>1150</v>
      </c>
      <c r="D29" s="45" t="s">
        <v>63</v>
      </c>
      <c r="E29" s="69"/>
      <c r="F29" s="217" t="s">
        <v>25</v>
      </c>
      <c r="G29" s="217"/>
      <c r="H29" s="217"/>
      <c r="I29" s="217"/>
      <c r="J29" s="217"/>
      <c r="K29" s="75"/>
    </row>
    <row r="30" spans="1:22" s="50" customFormat="1" ht="15.75">
      <c r="A30" s="76" t="s">
        <v>26</v>
      </c>
      <c r="B30" s="11"/>
      <c r="C30" s="107">
        <f>$C$3*C29</f>
        <v>3450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22" s="50" customFormat="1" ht="15.75">
      <c r="A31" s="76" t="s">
        <v>27</v>
      </c>
      <c r="B31" s="11"/>
      <c r="C31" s="106">
        <v>3000</v>
      </c>
      <c r="D31" s="85" t="s">
        <v>24</v>
      </c>
      <c r="E31" s="92" t="s">
        <v>78</v>
      </c>
      <c r="F31" s="92"/>
      <c r="G31" s="92"/>
      <c r="H31" s="92"/>
      <c r="I31" s="85"/>
      <c r="J31" s="11"/>
      <c r="K31" s="77"/>
    </row>
    <row r="32" spans="1:22" s="50" customFormat="1" ht="15.75">
      <c r="A32" s="76"/>
      <c r="B32" s="11"/>
      <c r="C32" s="134"/>
      <c r="D32" s="126"/>
      <c r="E32" s="126"/>
      <c r="F32" s="126"/>
      <c r="G32" s="126"/>
      <c r="H32" s="126"/>
      <c r="I32" s="126"/>
      <c r="J32" s="11"/>
      <c r="K32" s="77"/>
    </row>
    <row r="33" spans="1:11" s="46" customFormat="1" ht="22.5" customHeight="1">
      <c r="A33" s="74" t="s">
        <v>28</v>
      </c>
      <c r="B33" s="131"/>
      <c r="C33" s="108">
        <f>Calcoli!S55</f>
        <v>1500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7">
        <f>IF(Calcoli!Q49=1,C30-C33,C30)</f>
        <v>1950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7">
        <f>IF(Calcoli!Q49=1,C31-C33,0)</f>
        <v>1500</v>
      </c>
      <c r="D35" s="85" t="s">
        <v>24</v>
      </c>
      <c r="E35" s="11"/>
      <c r="F35" s="159" t="s">
        <v>114</v>
      </c>
      <c r="G35" s="160"/>
      <c r="H35" s="161"/>
      <c r="I35" s="214">
        <f>C3*C37</f>
        <v>6000</v>
      </c>
      <c r="J35" s="215"/>
      <c r="K35" s="77"/>
    </row>
    <row r="36" spans="1:11" s="50" customFormat="1" ht="16.5" thickBot="1">
      <c r="A36" s="78"/>
      <c r="B36" s="11"/>
      <c r="C36" s="103"/>
      <c r="D36" s="85"/>
      <c r="E36" s="11"/>
      <c r="F36" s="162" t="s">
        <v>141</v>
      </c>
      <c r="G36" s="70"/>
      <c r="H36" s="157"/>
      <c r="I36" s="210">
        <f>C42+C43</f>
        <v>292</v>
      </c>
      <c r="J36" s="211"/>
      <c r="K36" s="77"/>
    </row>
    <row r="37" spans="1:11" s="50" customFormat="1" ht="16.5" thickBot="1">
      <c r="A37" s="78" t="s">
        <v>31</v>
      </c>
      <c r="B37" s="11"/>
      <c r="C37" s="124">
        <v>2000</v>
      </c>
      <c r="D37" s="85" t="s">
        <v>32</v>
      </c>
      <c r="E37" s="158"/>
      <c r="F37" s="165"/>
      <c r="G37" s="163" t="s">
        <v>22</v>
      </c>
      <c r="H37" s="164"/>
      <c r="I37" s="212">
        <f>SUM(I35:J36)</f>
        <v>6292</v>
      </c>
      <c r="J37" s="213"/>
      <c r="K37" s="77"/>
    </row>
    <row r="38" spans="1:11" s="50" customFormat="1" ht="16.5" thickBot="1">
      <c r="A38" s="78" t="s">
        <v>33</v>
      </c>
      <c r="B38" s="11"/>
      <c r="C38" s="106">
        <v>50</v>
      </c>
      <c r="D38" s="85" t="s">
        <v>32</v>
      </c>
      <c r="E38" s="158"/>
      <c r="F38" s="112"/>
      <c r="G38" s="111"/>
      <c r="H38" s="201"/>
      <c r="I38" s="201"/>
      <c r="J38" s="111"/>
      <c r="K38" s="77"/>
    </row>
    <row r="39" spans="1:11" s="50" customFormat="1" ht="15.75">
      <c r="A39" s="78" t="s">
        <v>83</v>
      </c>
      <c r="B39" s="11"/>
      <c r="C39" s="109">
        <v>2</v>
      </c>
      <c r="D39" s="85" t="s">
        <v>61</v>
      </c>
      <c r="E39" s="112"/>
      <c r="F39" s="159" t="s">
        <v>156</v>
      </c>
      <c r="G39" s="166"/>
      <c r="H39" s="166"/>
      <c r="I39" s="214">
        <f>X81</f>
        <v>9828.8953652070722</v>
      </c>
      <c r="J39" s="216"/>
      <c r="K39" s="77"/>
    </row>
    <row r="40" spans="1:11" s="50" customFormat="1" ht="16.5" thickBot="1">
      <c r="A40" s="78" t="s">
        <v>79</v>
      </c>
      <c r="B40" s="11"/>
      <c r="C40" s="107">
        <f>IF(C3&lt;20,C3*3,60+((C3-20)*2))</f>
        <v>9</v>
      </c>
      <c r="D40" s="85" t="s">
        <v>32</v>
      </c>
      <c r="E40" s="11"/>
      <c r="F40" s="167" t="s">
        <v>157</v>
      </c>
      <c r="G40" s="163"/>
      <c r="H40" s="163"/>
      <c r="I40" s="199">
        <f>AC81</f>
        <v>14195.481631618071</v>
      </c>
      <c r="J40" s="200"/>
      <c r="K40" s="77"/>
    </row>
    <row r="41" spans="1:11" s="50" customFormat="1" ht="15.75">
      <c r="A41" s="78" t="s">
        <v>80</v>
      </c>
      <c r="B41" s="11"/>
      <c r="C41" s="132">
        <f>0.0005*C30</f>
        <v>1.7250000000000001</v>
      </c>
      <c r="D41" s="85" t="s">
        <v>32</v>
      </c>
      <c r="E41" s="112"/>
      <c r="F41" s="112"/>
      <c r="G41" s="112"/>
      <c r="H41" s="112"/>
      <c r="I41" s="112"/>
      <c r="J41" s="11"/>
      <c r="K41" s="77"/>
    </row>
    <row r="42" spans="1:11" s="50" customFormat="1" ht="15.75">
      <c r="A42" s="78" t="s">
        <v>139</v>
      </c>
      <c r="B42" s="11"/>
      <c r="C42" s="107">
        <f>IF(Calcoli!O77&lt;0,Calcoli!P77,(C3-C4)*55+Calcoli!P77)</f>
        <v>242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140</v>
      </c>
      <c r="B43" s="11"/>
      <c r="C43" s="106">
        <v>50</v>
      </c>
      <c r="D43" s="85" t="s">
        <v>32</v>
      </c>
      <c r="E43" s="55" t="s">
        <v>166</v>
      </c>
      <c r="F43" s="11"/>
      <c r="G43" s="11"/>
      <c r="H43" s="11"/>
      <c r="I43" s="11"/>
      <c r="J43" s="11"/>
      <c r="K43" s="77"/>
    </row>
    <row r="44" spans="1:11" s="50" customFormat="1" ht="15.75">
      <c r="A44" s="174" t="s">
        <v>174</v>
      </c>
      <c r="B44" s="175"/>
      <c r="C44" s="106">
        <v>50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9" t="s">
        <v>173</v>
      </c>
      <c r="B45" s="82"/>
      <c r="C45" s="106">
        <v>20</v>
      </c>
      <c r="D45" s="85" t="s">
        <v>175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34</v>
      </c>
      <c r="B46" s="11"/>
      <c r="C46" s="110">
        <v>0.18</v>
      </c>
      <c r="D46" s="85" t="s">
        <v>32</v>
      </c>
      <c r="E46" s="11"/>
      <c r="F46" s="11"/>
      <c r="G46" s="11"/>
      <c r="H46" s="11"/>
      <c r="I46" s="11"/>
      <c r="J46" s="11"/>
      <c r="K46" s="77"/>
    </row>
    <row r="47" spans="1:11" s="50" customFormat="1" ht="15.75">
      <c r="A47" s="78" t="s">
        <v>159</v>
      </c>
      <c r="B47" s="11"/>
      <c r="C47" s="110">
        <v>0.1</v>
      </c>
      <c r="D47" s="85" t="s">
        <v>32</v>
      </c>
      <c r="E47" s="55" t="s">
        <v>160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82</v>
      </c>
      <c r="B48" s="11"/>
      <c r="C48" s="109">
        <v>0.9</v>
      </c>
      <c r="D48" s="85" t="s">
        <v>61</v>
      </c>
      <c r="E48" s="55" t="s">
        <v>113</v>
      </c>
      <c r="F48" s="11"/>
      <c r="G48" s="11"/>
      <c r="H48" s="11"/>
      <c r="I48" s="11"/>
      <c r="J48" s="11"/>
      <c r="K48" s="77"/>
    </row>
    <row r="49" spans="1:29" s="50" customFormat="1" ht="15.75">
      <c r="A49" s="78" t="s">
        <v>62</v>
      </c>
      <c r="B49" s="11"/>
      <c r="C49" s="109">
        <v>4</v>
      </c>
      <c r="D49" s="85" t="s">
        <v>61</v>
      </c>
      <c r="E49" s="55" t="s">
        <v>84</v>
      </c>
      <c r="F49" s="11"/>
      <c r="G49" s="11"/>
      <c r="H49" s="11"/>
      <c r="I49" s="11"/>
      <c r="J49" s="11"/>
      <c r="K49" s="77"/>
    </row>
    <row r="50" spans="1:29" s="50" customFormat="1" ht="9" customHeight="1">
      <c r="A50" s="79"/>
      <c r="B50" s="80"/>
      <c r="C50" s="133"/>
      <c r="D50" s="81"/>
      <c r="E50" s="93"/>
      <c r="F50" s="80"/>
      <c r="G50" s="80"/>
      <c r="H50" s="80"/>
      <c r="I50" s="80"/>
      <c r="J50" s="80"/>
      <c r="K50" s="82"/>
    </row>
    <row r="52" spans="1:29">
      <c r="A52" s="60"/>
      <c r="B52" s="60"/>
      <c r="C52" s="60"/>
      <c r="D52" s="60"/>
      <c r="E52" s="128" t="s">
        <v>40</v>
      </c>
      <c r="F52" s="128" t="s">
        <v>42</v>
      </c>
      <c r="G52" s="128" t="s">
        <v>43</v>
      </c>
      <c r="H52" s="128" t="s">
        <v>44</v>
      </c>
      <c r="I52" s="128" t="s">
        <v>45</v>
      </c>
      <c r="J52" s="128" t="s">
        <v>46</v>
      </c>
      <c r="K52" s="128" t="s">
        <v>47</v>
      </c>
      <c r="L52" s="128" t="s">
        <v>48</v>
      </c>
      <c r="M52" s="128" t="s">
        <v>49</v>
      </c>
      <c r="N52" s="128" t="s">
        <v>50</v>
      </c>
      <c r="O52" s="128" t="s">
        <v>51</v>
      </c>
      <c r="P52" s="128" t="s">
        <v>52</v>
      </c>
      <c r="Q52" s="128" t="s">
        <v>53</v>
      </c>
      <c r="R52" s="128" t="s">
        <v>54</v>
      </c>
      <c r="S52" s="128" t="s">
        <v>55</v>
      </c>
      <c r="T52" s="128" t="s">
        <v>56</v>
      </c>
      <c r="U52" s="128" t="s">
        <v>57</v>
      </c>
      <c r="V52" s="128" t="s">
        <v>58</v>
      </c>
      <c r="W52" s="128" t="s">
        <v>59</v>
      </c>
      <c r="X52" s="128" t="s">
        <v>60</v>
      </c>
      <c r="Y52" s="156" t="s">
        <v>151</v>
      </c>
      <c r="Z52" s="156" t="s">
        <v>152</v>
      </c>
      <c r="AA52" s="156" t="s">
        <v>153</v>
      </c>
      <c r="AB52" s="156" t="s">
        <v>154</v>
      </c>
      <c r="AC52" s="156" t="s">
        <v>155</v>
      </c>
    </row>
    <row r="53" spans="1:29">
      <c r="A53" s="60"/>
      <c r="B53" s="60"/>
      <c r="C53" s="6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62" t="s">
        <v>102</v>
      </c>
      <c r="B54" s="60"/>
      <c r="C54" s="60"/>
      <c r="D54" s="60"/>
      <c r="E54" s="146">
        <f>C30</f>
        <v>3450</v>
      </c>
      <c r="F54" s="146">
        <f t="shared" ref="F54" si="0">E54/100*(100-$C$48)</f>
        <v>3418.95</v>
      </c>
      <c r="G54" s="146">
        <f t="shared" ref="G54" si="1">F54/100*(100-$C$48)</f>
        <v>3388.1794499999992</v>
      </c>
      <c r="H54" s="146">
        <f t="shared" ref="H54" si="2">G54/100*(100-$C$48)</f>
        <v>3357.6858349499989</v>
      </c>
      <c r="I54" s="146">
        <f t="shared" ref="I54" si="3">H54/100*(100-$C$48)</f>
        <v>3327.4666624354486</v>
      </c>
      <c r="J54" s="146">
        <f t="shared" ref="J54" si="4">I54/100*(100-$C$48)</f>
        <v>3297.5194624735295</v>
      </c>
      <c r="K54" s="146">
        <f t="shared" ref="K54" si="5">J54/100*(100-$C$48)</f>
        <v>3267.8417873112676</v>
      </c>
      <c r="L54" s="146">
        <f t="shared" ref="L54" si="6">K54/100*(100-$C$48)</f>
        <v>3238.4312112254661</v>
      </c>
      <c r="M54" s="146">
        <f t="shared" ref="M54" si="7">L54/100*(100-$C$48)</f>
        <v>3209.2853303244369</v>
      </c>
      <c r="N54" s="146">
        <f t="shared" ref="N54" si="8">M54/100*(100-$C$48)</f>
        <v>3180.4017623515165</v>
      </c>
      <c r="O54" s="146">
        <f t="shared" ref="O54" si="9">N54/100*(100-$C$48)</f>
        <v>3151.7781464903528</v>
      </c>
      <c r="P54" s="146">
        <f t="shared" ref="P54" si="10">O54/100*(100-$C$48)</f>
        <v>3123.4121431719395</v>
      </c>
      <c r="Q54" s="146">
        <f t="shared" ref="Q54" si="11">P54/100*(100-$C$48)</f>
        <v>3095.3014338833918</v>
      </c>
      <c r="R54" s="146">
        <f t="shared" ref="R54" si="12">Q54/100*(100-$C$48)</f>
        <v>3067.443720978441</v>
      </c>
      <c r="S54" s="146">
        <f t="shared" ref="S54" si="13">R54/100*(100-$C$48)</f>
        <v>3039.836727489635</v>
      </c>
      <c r="T54" s="146">
        <f t="shared" ref="T54" si="14">S54/100*(100-$C$48)</f>
        <v>3012.4781969422284</v>
      </c>
      <c r="U54" s="146">
        <f t="shared" ref="U54" si="15">T54/100*(100-$C$48)</f>
        <v>2985.3658931697482</v>
      </c>
      <c r="V54" s="146">
        <f t="shared" ref="V54" si="16">U54/100*(100-$C$48)</f>
        <v>2958.4976001312202</v>
      </c>
      <c r="W54" s="146">
        <f t="shared" ref="W54" si="17">V54/100*(100-$C$48)</f>
        <v>2931.8711217300392</v>
      </c>
      <c r="X54" s="146">
        <f t="shared" ref="X54" si="18">W54/100*(100-$C$48)</f>
        <v>2905.484281634469</v>
      </c>
      <c r="Y54" s="146">
        <f t="shared" ref="Y54" si="19">X54/100*(100-$C$48)</f>
        <v>2879.3349230997583</v>
      </c>
      <c r="Z54" s="146">
        <f t="shared" ref="Z54" si="20">Y54/100*(100-$C$48)</f>
        <v>2853.4209087918603</v>
      </c>
      <c r="AA54" s="146">
        <f t="shared" ref="AA54" si="21">Z54/100*(100-$C$48)</f>
        <v>2827.7401206127333</v>
      </c>
      <c r="AB54" s="146">
        <f t="shared" ref="AB54" si="22">AA54/100*(100-$C$48)</f>
        <v>2802.2904595272184</v>
      </c>
      <c r="AC54" s="146">
        <f t="shared" ref="AC54" si="23">AB54/100*(100-$C$48)</f>
        <v>2777.0698453914733</v>
      </c>
    </row>
    <row r="55" spans="1:29" ht="15.75">
      <c r="A55" s="62" t="s">
        <v>179</v>
      </c>
      <c r="B55" s="60"/>
      <c r="C55" s="60"/>
      <c r="D55" s="60"/>
      <c r="E55" s="146">
        <f>Calcoli!D255</f>
        <v>3000</v>
      </c>
      <c r="F55" s="146">
        <f>Calcoli!E255</f>
        <v>3060</v>
      </c>
      <c r="G55" s="146">
        <f>Calcoli!F255</f>
        <v>3121.2</v>
      </c>
      <c r="H55" s="146">
        <f>Calcoli!G255</f>
        <v>3183.6239999999998</v>
      </c>
      <c r="I55" s="146">
        <f>Calcoli!H255</f>
        <v>3247.29648</v>
      </c>
      <c r="J55" s="146">
        <f>Calcoli!I255</f>
        <v>3312.2424096</v>
      </c>
      <c r="K55" s="146">
        <f>Calcoli!J255</f>
        <v>3378.487257792</v>
      </c>
      <c r="L55" s="146">
        <f>Calcoli!K255</f>
        <v>3446.0570029478399</v>
      </c>
      <c r="M55" s="146">
        <f>Calcoli!L255</f>
        <v>3514.9781430067969</v>
      </c>
      <c r="N55" s="146">
        <f>Calcoli!M255</f>
        <v>3585.277705866933</v>
      </c>
      <c r="O55" s="146">
        <f>Calcoli!N255</f>
        <v>3656.9832599842716</v>
      </c>
      <c r="P55" s="146">
        <f>Calcoli!O255</f>
        <v>3730.1229251839572</v>
      </c>
      <c r="Q55" s="146">
        <f>Calcoli!P255</f>
        <v>3804.7253836876362</v>
      </c>
      <c r="R55" s="146">
        <f>Calcoli!Q255</f>
        <v>3880.8198913613887</v>
      </c>
      <c r="S55" s="146">
        <f>Calcoli!R255</f>
        <v>3958.4362891886167</v>
      </c>
      <c r="T55" s="146">
        <f>Calcoli!S255</f>
        <v>4037.6050149723892</v>
      </c>
      <c r="U55" s="146">
        <f>Calcoli!T255</f>
        <v>4118.3571152718368</v>
      </c>
      <c r="V55" s="146">
        <f>Calcoli!U255</f>
        <v>4200.7242575772734</v>
      </c>
      <c r="W55" s="146">
        <f>Calcoli!V255</f>
        <v>4284.7387427288186</v>
      </c>
      <c r="X55" s="146">
        <f>Calcoli!W255</f>
        <v>4370.4335175833949</v>
      </c>
      <c r="Y55" s="146">
        <f>Calcoli!X255</f>
        <v>4457.8421879350626</v>
      </c>
      <c r="Z55" s="146">
        <f>Calcoli!Y255</f>
        <v>4546.9990316937638</v>
      </c>
      <c r="AA55" s="146">
        <f>Calcoli!Z255</f>
        <v>4637.9390123276389</v>
      </c>
      <c r="AB55" s="146">
        <f>Calcoli!AA255</f>
        <v>4730.6977925741921</v>
      </c>
      <c r="AC55" s="146">
        <f>Calcoli!AB255</f>
        <v>4825.3117484256763</v>
      </c>
    </row>
    <row r="56" spans="1:29" ht="15.75">
      <c r="A56" s="62" t="s">
        <v>28</v>
      </c>
      <c r="B56" s="60"/>
      <c r="C56" s="60"/>
      <c r="D56" s="60"/>
      <c r="E56" s="146">
        <f>IF(Calcoli!D251=TRUE,Calcoli!D224,0)</f>
        <v>1500</v>
      </c>
      <c r="F56" s="146">
        <f>IF(Calcoli!E251=TRUE,Calcoli!E224,0)</f>
        <v>1530</v>
      </c>
      <c r="G56" s="146">
        <f>IF(Calcoli!F251=TRUE,Calcoli!F224,0)</f>
        <v>1560.6</v>
      </c>
      <c r="H56" s="146">
        <f>IF(Calcoli!G251=TRUE,Calcoli!G224,0)</f>
        <v>1591.8119999999999</v>
      </c>
      <c r="I56" s="146">
        <f>IF(Calcoli!H251=TRUE,Calcoli!H224,0)</f>
        <v>1623.64824</v>
      </c>
      <c r="J56" s="146">
        <f>IF(Calcoli!I251=TRUE,Calcoli!I224,0)</f>
        <v>1656.1212048</v>
      </c>
      <c r="K56" s="146">
        <f>IF(Calcoli!J251=TRUE,Calcoli!J224,0)</f>
        <v>1689.243628896</v>
      </c>
      <c r="L56" s="146">
        <f>IF(Calcoli!K251=TRUE,Calcoli!K224,0)</f>
        <v>1723.02850147392</v>
      </c>
      <c r="M56" s="146">
        <f>IF(Calcoli!L251=TRUE,Calcoli!L224,0)</f>
        <v>1757.4890715033985</v>
      </c>
      <c r="N56" s="146">
        <f>IF(Calcoli!M251=TRUE,Calcoli!M224,0)</f>
        <v>1792.6388529334665</v>
      </c>
      <c r="O56" s="146">
        <f>IF(Calcoli!N251=TRUE,Calcoli!N224,0)</f>
        <v>1828.4916299921358</v>
      </c>
      <c r="P56" s="146">
        <f>IF(Calcoli!O251=TRUE,Calcoli!O224,0)</f>
        <v>1865.0614625919786</v>
      </c>
      <c r="Q56" s="146">
        <f>IF(Calcoli!P251=TRUE,Calcoli!P224,0)</f>
        <v>1902.3626918438181</v>
      </c>
      <c r="R56" s="146">
        <f>IF(Calcoli!Q251=TRUE,Calcoli!Q224,0)</f>
        <v>1940.4099456806944</v>
      </c>
      <c r="S56" s="146">
        <f>IF(Calcoli!R251=TRUE,Calcoli!R224,0)</f>
        <v>1979.2181445943083</v>
      </c>
      <c r="T56" s="146">
        <f>IF(Calcoli!S251=TRUE,Calcoli!S224,0)</f>
        <v>2018.8025074861946</v>
      </c>
      <c r="U56" s="146">
        <f>IF(Calcoli!T251=TRUE,Calcoli!T224,0)</f>
        <v>2059.1785576359184</v>
      </c>
      <c r="V56" s="146">
        <f>IF(Calcoli!U251=TRUE,Calcoli!U224,0)</f>
        <v>2100.3621287886367</v>
      </c>
      <c r="W56" s="146">
        <f>IF(Calcoli!V251=TRUE,Calcoli!V224,0)</f>
        <v>2142.3693713644093</v>
      </c>
      <c r="X56" s="146">
        <f>IF(Calcoli!W251=TRUE,Calcoli!W224,0)</f>
        <v>2185.2167587916974</v>
      </c>
      <c r="Y56" s="146">
        <f>IF(Calcoli!X251=TRUE,Calcoli!X224,0)</f>
        <v>2228.9210939675313</v>
      </c>
      <c r="Z56" s="146">
        <f>IF(Calcoli!Y251=TRUE,Calcoli!Y224,0)</f>
        <v>2273.4995158468819</v>
      </c>
      <c r="AA56" s="146">
        <f>IF(Calcoli!Z251=TRUE,Calcoli!Z224,0)</f>
        <v>2318.9695061638195</v>
      </c>
      <c r="AB56" s="146">
        <f>IF(Calcoli!AA251=TRUE,Calcoli!AA224,0)</f>
        <v>2365.3488962870961</v>
      </c>
      <c r="AC56" s="146">
        <f>IF(Calcoli!AB251=TRUE,Calcoli!AB224,0)</f>
        <v>2412.6558742128382</v>
      </c>
    </row>
    <row r="57" spans="1:29" ht="15.75">
      <c r="A57" s="62" t="s">
        <v>38</v>
      </c>
      <c r="B57" s="60"/>
      <c r="C57" s="60"/>
      <c r="D57" s="60"/>
      <c r="E57" s="146">
        <f>IF((E54-E56)&lt;0,0,E54-E56)</f>
        <v>1950</v>
      </c>
      <c r="F57" s="146">
        <f t="shared" ref="F57:X57" si="24">IF((F54-F56)&lt;0,0,F54-F56)</f>
        <v>1888.9499999999998</v>
      </c>
      <c r="G57" s="146">
        <f t="shared" si="24"/>
        <v>1827.5794499999993</v>
      </c>
      <c r="H57" s="146">
        <f t="shared" si="24"/>
        <v>1765.873834949999</v>
      </c>
      <c r="I57" s="146">
        <f t="shared" si="24"/>
        <v>1703.8184224354486</v>
      </c>
      <c r="J57" s="146">
        <f t="shared" si="24"/>
        <v>1641.3982576735295</v>
      </c>
      <c r="K57" s="146">
        <f t="shared" si="24"/>
        <v>1578.5981584152676</v>
      </c>
      <c r="L57" s="146">
        <f t="shared" si="24"/>
        <v>1515.4027097515461</v>
      </c>
      <c r="M57" s="146">
        <f t="shared" si="24"/>
        <v>1451.7962588210385</v>
      </c>
      <c r="N57" s="146">
        <f t="shared" si="24"/>
        <v>1387.76290941805</v>
      </c>
      <c r="O57" s="146">
        <f t="shared" si="24"/>
        <v>1323.286516498217</v>
      </c>
      <c r="P57" s="146">
        <f t="shared" si="24"/>
        <v>1258.3506805799609</v>
      </c>
      <c r="Q57" s="146">
        <f t="shared" si="24"/>
        <v>1192.9387420395738</v>
      </c>
      <c r="R57" s="146">
        <f t="shared" si="24"/>
        <v>1127.0337752977466</v>
      </c>
      <c r="S57" s="146">
        <f t="shared" si="24"/>
        <v>1060.6185828953267</v>
      </c>
      <c r="T57" s="146">
        <f t="shared" si="24"/>
        <v>993.67568945603375</v>
      </c>
      <c r="U57" s="146">
        <f t="shared" si="24"/>
        <v>926.18733553382981</v>
      </c>
      <c r="V57" s="146">
        <f t="shared" si="24"/>
        <v>858.13547134258351</v>
      </c>
      <c r="W57" s="146">
        <f t="shared" si="24"/>
        <v>789.50175036562996</v>
      </c>
      <c r="X57" s="146">
        <f t="shared" si="24"/>
        <v>720.26752284277154</v>
      </c>
      <c r="Y57" s="146">
        <f t="shared" ref="Y57:AC57" si="25">IF((Y54-Y56)&lt;0,0,Y54-Y56)</f>
        <v>650.41382913222697</v>
      </c>
      <c r="Z57" s="146">
        <f t="shared" si="25"/>
        <v>579.92139294497838</v>
      </c>
      <c r="AA57" s="146">
        <f t="shared" si="25"/>
        <v>508.77061444891388</v>
      </c>
      <c r="AB57" s="146">
        <f t="shared" si="25"/>
        <v>436.94156324012238</v>
      </c>
      <c r="AC57" s="146">
        <f t="shared" si="25"/>
        <v>364.41397117863517</v>
      </c>
    </row>
    <row r="58" spans="1:29" ht="11.25" customHeight="1">
      <c r="A58" s="62"/>
      <c r="B58" s="60"/>
      <c r="C58" s="60"/>
      <c r="D58" s="60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>
      <c r="A59" s="148" t="s">
        <v>142</v>
      </c>
      <c r="B59" s="149"/>
      <c r="C59" s="149"/>
      <c r="D59" s="60"/>
      <c r="E59" s="141">
        <f>IF(Calcoli!$D$1&lt;6,E57*$D$25/1000,0)</f>
        <v>444.6</v>
      </c>
      <c r="F59" s="141">
        <f>IF(Calcoli!$D$1&lt;6,F57*$D$25/1000,0)</f>
        <v>430.68059999999997</v>
      </c>
      <c r="G59" s="141">
        <f>IF(Calcoli!$D$1&lt;6,G57*$D$25/1000,0)</f>
        <v>416.68811459999984</v>
      </c>
      <c r="H59" s="141">
        <f>IF(Calcoli!$D$1&lt;6,H57*$D$25/1000,0)</f>
        <v>402.61923436859979</v>
      </c>
      <c r="I59" s="141">
        <f>IF(Calcoli!$D$1&lt;6,I57*$D$25/1000,0)</f>
        <v>388.4706003152823</v>
      </c>
      <c r="J59" s="141">
        <f>IF(Calcoli!$D$1&lt;6,J57*$D$25/1000,0)</f>
        <v>374.23880274956474</v>
      </c>
      <c r="K59" s="141">
        <f>IF(Calcoli!$D$1&lt;6,K57*$D$25/1000,0)</f>
        <v>359.92038011868101</v>
      </c>
      <c r="L59" s="141">
        <f>IF(Calcoli!$D$1&lt;6,L57*$D$25/1000,0)</f>
        <v>345.51181782335254</v>
      </c>
      <c r="M59" s="141">
        <f>IF(Calcoli!$D$1&lt;6,M57*$D$25/1000,0)</f>
        <v>331.00954701119679</v>
      </c>
      <c r="N59" s="141">
        <f>IF(Calcoli!$D$1&lt;6,N57*$D$25/1000,0)</f>
        <v>316.40994334731533</v>
      </c>
      <c r="O59" s="141">
        <f>IF(Calcoli!$D$1&lt;6,O57*$D$25/1000,0)</f>
        <v>301.70932576159345</v>
      </c>
      <c r="P59" s="141">
        <f>IF(Calcoli!$D$1&lt;6,P57*$D$25/1000,0)</f>
        <v>286.90395517223106</v>
      </c>
      <c r="Q59" s="141">
        <f>IF(Calcoli!$D$1&lt;6,Q57*$D$25/1000,0)</f>
        <v>271.99003318502281</v>
      </c>
      <c r="R59" s="141">
        <f>IF(Calcoli!$D$1&lt;6,R57*$D$25/1000,0)</f>
        <v>256.96370076788622</v>
      </c>
      <c r="S59" s="141">
        <f>IF(Calcoli!$D$1&lt;6,S57*$D$25/1000,0)</f>
        <v>241.82103690013446</v>
      </c>
      <c r="T59" s="141">
        <f>IF(Calcoli!$D$1&lt;6,T57*$D$25/1000,0)</f>
        <v>226.55805719597572</v>
      </c>
      <c r="U59" s="141">
        <f>IF(Calcoli!$D$1&lt;6,U57*$D$25/1000,0)</f>
        <v>211.17071250171318</v>
      </c>
      <c r="V59" s="141">
        <f>IF(Calcoli!$D$1&lt;6,V57*$D$25/1000,0)</f>
        <v>195.65488746610905</v>
      </c>
      <c r="W59" s="141">
        <f>IF(Calcoli!$D$1&lt;6,W57*$D$25/1000,0)</f>
        <v>180.00639908336362</v>
      </c>
      <c r="X59" s="141">
        <f>IF(Calcoli!$D$1&lt;6,X57*$D$25/1000,0)</f>
        <v>164.22099520815189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</row>
    <row r="60" spans="1:29" ht="15.75">
      <c r="A60" s="148" t="s">
        <v>143</v>
      </c>
      <c r="B60" s="149"/>
      <c r="C60" s="149"/>
      <c r="D60" s="60"/>
      <c r="E60" s="141">
        <f>IF(Calcoli!$D$1&lt;6,E56*$D$26/1000,0)</f>
        <v>219</v>
      </c>
      <c r="F60" s="141">
        <f>IF(Calcoli!$D$1&lt;6,F56*$D$26/1000,0)</f>
        <v>223.38</v>
      </c>
      <c r="G60" s="141">
        <f>IF(Calcoli!$D$1&lt;6,G56*$D$26/1000,0)</f>
        <v>227.84759999999997</v>
      </c>
      <c r="H60" s="141">
        <f>IF(Calcoli!$D$1&lt;6,H56*$D$26/1000,0)</f>
        <v>232.404552</v>
      </c>
      <c r="I60" s="141">
        <f>IF(Calcoli!$D$1&lt;6,I56*$D$26/1000,0)</f>
        <v>237.05264303999999</v>
      </c>
      <c r="J60" s="141">
        <f>IF(Calcoli!$D$1&lt;6,J56*$D$26/1000,0)</f>
        <v>241.7936959008</v>
      </c>
      <c r="K60" s="141">
        <f>IF(Calcoli!$D$1&lt;6,K56*$D$26/1000,0)</f>
        <v>246.62956981881601</v>
      </c>
      <c r="L60" s="141">
        <f>IF(Calcoli!$D$1&lt;6,L56*$D$26/1000,0)</f>
        <v>251.5621612151923</v>
      </c>
      <c r="M60" s="141">
        <f>IF(Calcoli!$D$1&lt;6,M56*$D$26/1000,0)</f>
        <v>256.59340443949617</v>
      </c>
      <c r="N60" s="141">
        <f>IF(Calcoli!$D$1&lt;6,N56*$D$26/1000,0)</f>
        <v>261.7252725282861</v>
      </c>
      <c r="O60" s="141">
        <f>IF(Calcoli!$D$1&lt;6,O56*$D$26/1000,0)</f>
        <v>266.95977797885183</v>
      </c>
      <c r="P60" s="141">
        <f>IF(Calcoli!$D$1&lt;6,P56*$D$26/1000,0)</f>
        <v>272.29897353842887</v>
      </c>
      <c r="Q60" s="141">
        <f>IF(Calcoli!$D$1&lt;6,Q56*$D$26/1000,0)</f>
        <v>277.74495300919745</v>
      </c>
      <c r="R60" s="141">
        <f>IF(Calcoli!$D$1&lt;6,R56*$D$26/1000,0)</f>
        <v>283.29985206938142</v>
      </c>
      <c r="S60" s="141">
        <f>IF(Calcoli!$D$1&lt;6,S56*$D$26/1000,0)</f>
        <v>288.965849110769</v>
      </c>
      <c r="T60" s="141">
        <f>IF(Calcoli!$D$1&lt;6,T56*$D$26/1000,0)</f>
        <v>294.74516609298445</v>
      </c>
      <c r="U60" s="141">
        <f>IF(Calcoli!$D$1&lt;6,U56*$D$26/1000,0)</f>
        <v>300.64006941484411</v>
      </c>
      <c r="V60" s="141">
        <f>IF(Calcoli!$D$1&lt;6,V56*$D$26/1000,0)</f>
        <v>306.65287080314096</v>
      </c>
      <c r="W60" s="141">
        <f>IF(Calcoli!$D$1&lt;6,W56*$D$26/1000,0)</f>
        <v>312.78592821920375</v>
      </c>
      <c r="X60" s="141">
        <f>IF(Calcoli!$D$1&lt;6,X56*$D$26/1000,0)</f>
        <v>319.04164678358779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</row>
    <row r="61" spans="1:29" ht="15.75" hidden="1">
      <c r="A61" s="148" t="s">
        <v>170</v>
      </c>
      <c r="B61" s="149"/>
      <c r="C61" s="149"/>
      <c r="D61" s="60"/>
      <c r="E61" s="141">
        <f>IF(Calcoli!$Q$57=TRUE,Calcoli!D235*Calcoli!G232,0)</f>
        <v>0</v>
      </c>
      <c r="F61" s="141">
        <f>IF(Calcoli!$Q$57=TRUE,Calcoli!E235*Calcoli!H232,0)</f>
        <v>0</v>
      </c>
      <c r="G61" s="141">
        <f>IF(Calcoli!$Q$57=TRUE,Calcoli!F235*Calcoli!I232,0)</f>
        <v>0</v>
      </c>
      <c r="H61" s="141">
        <f>IF(Calcoli!$Q$57=TRUE,Calcoli!G235*Calcoli!J232,0)</f>
        <v>0</v>
      </c>
      <c r="I61" s="141">
        <f>IF(Calcoli!$Q$57=TRUE,Calcoli!H235*Calcoli!K232,0)</f>
        <v>0</v>
      </c>
      <c r="J61" s="141">
        <f>IF(Calcoli!$Q$57=TRUE,Calcoli!I235*Calcoli!L232,0)</f>
        <v>0</v>
      </c>
      <c r="K61" s="141">
        <f>IF(Calcoli!$Q$57=TRUE,Calcoli!J235*Calcoli!M232,0)</f>
        <v>0</v>
      </c>
      <c r="L61" s="141">
        <f>IF(Calcoli!$Q$57=TRUE,Calcoli!K235*Calcoli!N232,0)</f>
        <v>0</v>
      </c>
      <c r="M61" s="141">
        <f>IF(Calcoli!$Q$57=TRUE,Calcoli!L235*Calcoli!O232,0)</f>
        <v>0</v>
      </c>
      <c r="N61" s="141">
        <f>IF(Calcoli!$Q$57=TRUE,Calcoli!M235*Calcoli!P232,0)</f>
        <v>0</v>
      </c>
      <c r="O61" s="141">
        <f>IF(Calcoli!$Q$57=TRUE,Calcoli!N235*Calcoli!Q232,0)</f>
        <v>0</v>
      </c>
      <c r="P61" s="141">
        <f>IF(Calcoli!$Q$57=TRUE,Calcoli!O235*Calcoli!R232,0)</f>
        <v>0</v>
      </c>
      <c r="Q61" s="141">
        <f>IF(Calcoli!$Q$57=TRUE,Calcoli!P235*Calcoli!S232,0)</f>
        <v>0</v>
      </c>
      <c r="R61" s="141">
        <f>IF(Calcoli!$Q$57=TRUE,Calcoli!Q235*Calcoli!T232,0)</f>
        <v>0</v>
      </c>
      <c r="S61" s="141">
        <f>IF(Calcoli!$Q$57=TRUE,Calcoli!R235*Calcoli!U232,0)</f>
        <v>0</v>
      </c>
      <c r="T61" s="141">
        <f>IF(Calcoli!$Q$57=TRUE,Calcoli!S235*Calcoli!V232,0)</f>
        <v>0</v>
      </c>
      <c r="U61" s="141">
        <f>IF(Calcoli!$Q$57=TRUE,Calcoli!T235*Calcoli!W232,0)</f>
        <v>0</v>
      </c>
      <c r="V61" s="141">
        <f>IF(Calcoli!$Q$57=TRUE,Calcoli!U235*Calcoli!X232,0)</f>
        <v>0</v>
      </c>
      <c r="W61" s="141">
        <f>IF(Calcoli!$Q$57=TRUE,Calcoli!V235*Calcoli!Y232,0)</f>
        <v>0</v>
      </c>
      <c r="X61" s="141">
        <f>IF(Calcoli!$Q$57=TRUE,Calcoli!W235*Calcoli!Z232,0)</f>
        <v>0</v>
      </c>
      <c r="Y61" s="141">
        <f>IF(Calcoli!$Q$49=1,Calcoli!X235*Calcoli!AA232,0)</f>
        <v>230.87216055681819</v>
      </c>
      <c r="Z61" s="141">
        <f>IF(Calcoli!$Q$49=1,Calcoli!Y235*Calcoli!AB232,0)</f>
        <v>214.08402912618894</v>
      </c>
      <c r="AA61" s="141">
        <f>IF(Calcoli!$Q$49=1,Calcoli!Z235*Calcoli!AC232,0)</f>
        <v>195.33069643917577</v>
      </c>
      <c r="AB61" s="141">
        <f>IF(Calcoli!$Q$49=1,Calcoli!AA235*Calcoli!AD232,0)</f>
        <v>174.46373930439444</v>
      </c>
      <c r="AC61" s="141">
        <f>IF(Calcoli!$Q$49=1,Calcoli!AB235*Calcoli!AE232,0)</f>
        <v>151.32482371084384</v>
      </c>
    </row>
    <row r="62" spans="1:29" ht="15.75" hidden="1">
      <c r="A62" s="148" t="s">
        <v>171</v>
      </c>
      <c r="B62" s="149"/>
      <c r="C62" s="149"/>
      <c r="D62" s="60"/>
      <c r="E62" s="141">
        <f>IF(Calcoli!$Q$57=TRUE,Calcoli!D236*Calcoli!G232,0)</f>
        <v>0</v>
      </c>
      <c r="F62" s="141">
        <f>IF(Calcoli!$Q$57=TRUE,Calcoli!E236*Calcoli!H232,0)</f>
        <v>0</v>
      </c>
      <c r="G62" s="141">
        <f>IF(Calcoli!$Q$57=TRUE,Calcoli!F236*Calcoli!I232,0)</f>
        <v>0</v>
      </c>
      <c r="H62" s="141">
        <f>IF(Calcoli!$Q$57=TRUE,Calcoli!G236*Calcoli!J232,0)</f>
        <v>0</v>
      </c>
      <c r="I62" s="141">
        <f>IF(Calcoli!$Q$57=TRUE,Calcoli!H236*Calcoli!K232,0)</f>
        <v>0</v>
      </c>
      <c r="J62" s="141">
        <f>IF(Calcoli!$Q$57=TRUE,Calcoli!I236*Calcoli!L232,0)</f>
        <v>0</v>
      </c>
      <c r="K62" s="141">
        <f>IF(Calcoli!$Q$57=TRUE,Calcoli!J236*Calcoli!M232,0)</f>
        <v>0</v>
      </c>
      <c r="L62" s="141">
        <f>IF(Calcoli!$Q$57=TRUE,Calcoli!K236*Calcoli!N232,0)</f>
        <v>0</v>
      </c>
      <c r="M62" s="141">
        <f>IF(Calcoli!$Q$57=TRUE,Calcoli!L236*Calcoli!O232,0)</f>
        <v>0</v>
      </c>
      <c r="N62" s="141">
        <f>IF(Calcoli!$Q$57=TRUE,Calcoli!M236*Calcoli!P232,0)</f>
        <v>0</v>
      </c>
      <c r="O62" s="141">
        <f>IF(Calcoli!$Q$57=TRUE,Calcoli!N236*Calcoli!Q232,0)</f>
        <v>0</v>
      </c>
      <c r="P62" s="141">
        <f>IF(Calcoli!$Q$57=TRUE,Calcoli!O236*Calcoli!R232,0)</f>
        <v>0</v>
      </c>
      <c r="Q62" s="141">
        <f>IF(Calcoli!$Q$57=TRUE,Calcoli!P236*Calcoli!S232,0)</f>
        <v>0</v>
      </c>
      <c r="R62" s="141">
        <f>IF(Calcoli!$Q$57=TRUE,Calcoli!Q236*Calcoli!T232,0)</f>
        <v>0</v>
      </c>
      <c r="S62" s="141">
        <f>IF(Calcoli!$Q$57=TRUE,Calcoli!R236*Calcoli!U232,0)</f>
        <v>0</v>
      </c>
      <c r="T62" s="141">
        <f>IF(Calcoli!$Q$57=TRUE,Calcoli!S236*Calcoli!V232,0)</f>
        <v>0</v>
      </c>
      <c r="U62" s="141">
        <f>IF(Calcoli!$Q$57=TRUE,Calcoli!T236*Calcoli!W232,0)</f>
        <v>0</v>
      </c>
      <c r="V62" s="141">
        <f>IF(Calcoli!$Q$57=TRUE,Calcoli!U236*Calcoli!X232,0)</f>
        <v>0</v>
      </c>
      <c r="W62" s="141">
        <f>IF(Calcoli!$Q$57=TRUE,Calcoli!V236*Calcoli!Y232,0)</f>
        <v>0</v>
      </c>
      <c r="X62" s="141">
        <f>IF(Calcoli!$Q$57=TRUE,Calcoli!W236*Calcoli!Z232,0)</f>
        <v>0</v>
      </c>
      <c r="Y62" s="141">
        <f>IF(Calcoli!$Q$57=TRUE,Calcoli!X236*Calcoli!AA232,0)</f>
        <v>0</v>
      </c>
      <c r="Z62" s="141">
        <f>IF(Calcoli!$Q$57=TRUE,Calcoli!Y236*Calcoli!AB232,0)</f>
        <v>0</v>
      </c>
      <c r="AA62" s="141">
        <f>IF(Calcoli!$Q$57=TRUE,Calcoli!Z236*Calcoli!AC232,0)</f>
        <v>0</v>
      </c>
      <c r="AB62" s="141">
        <f>IF(Calcoli!$Q$57=TRUE,Calcoli!AA236*Calcoli!AD232,0)</f>
        <v>0</v>
      </c>
      <c r="AC62" s="141">
        <f>IF(Calcoli!$Q$57=TRUE,Calcoli!AB236*Calcoli!AE232,0)</f>
        <v>0</v>
      </c>
    </row>
    <row r="63" spans="1:29" ht="15.75" hidden="1">
      <c r="A63" s="148" t="s">
        <v>165</v>
      </c>
      <c r="B63" s="149"/>
      <c r="C63" s="149"/>
      <c r="D63" s="60"/>
      <c r="E63" s="141">
        <f>IF(Calcoli!$D$230=TRUE,Calcoli!D246*E57,0)</f>
        <v>0</v>
      </c>
      <c r="F63" s="141">
        <f>IF(Calcoli!$D$230=TRUE,Calcoli!E246*F57,0)</f>
        <v>0</v>
      </c>
      <c r="G63" s="141">
        <f>IF(Calcoli!$D$230=TRUE,Calcoli!F246*G57,0)</f>
        <v>0</v>
      </c>
      <c r="H63" s="141">
        <f>IF(Calcoli!$D$230=TRUE,Calcoli!G246*H57,0)</f>
        <v>0</v>
      </c>
      <c r="I63" s="141">
        <f>IF(Calcoli!$D$230=TRUE,Calcoli!H246*I57,0)</f>
        <v>0</v>
      </c>
      <c r="J63" s="141">
        <f>IF(Calcoli!$D$230=TRUE,Calcoli!I246*J57,0)</f>
        <v>0</v>
      </c>
      <c r="K63" s="141">
        <f>IF(Calcoli!$D$230=TRUE,Calcoli!J246*K57,0)</f>
        <v>0</v>
      </c>
      <c r="L63" s="141">
        <f>IF(Calcoli!$D$230=TRUE,Calcoli!K246*L57,0)</f>
        <v>0</v>
      </c>
      <c r="M63" s="141">
        <f>IF(Calcoli!$D$230=TRUE,Calcoli!L246*M57,0)</f>
        <v>0</v>
      </c>
      <c r="N63" s="141">
        <f>IF(Calcoli!$D$230=TRUE,Calcoli!M246*N57,0)</f>
        <v>0</v>
      </c>
      <c r="O63" s="141">
        <f>IF(Calcoli!$D$230=TRUE,Calcoli!N246*O57,0)</f>
        <v>0</v>
      </c>
      <c r="P63" s="141">
        <f>IF(Calcoli!$D$230=TRUE,Calcoli!O246*P57,0)</f>
        <v>0</v>
      </c>
      <c r="Q63" s="141">
        <f>IF(Calcoli!$D$230=TRUE,Calcoli!P246*Q57,0)</f>
        <v>0</v>
      </c>
      <c r="R63" s="141">
        <f>IF(Calcoli!$D$230=TRUE,Calcoli!Q246*R57,0)</f>
        <v>0</v>
      </c>
      <c r="S63" s="141">
        <f>IF(Calcoli!$D$230=TRUE,Calcoli!R246*S57,0)</f>
        <v>0</v>
      </c>
      <c r="T63" s="141">
        <f>IF(Calcoli!$D$230=TRUE,Calcoli!S246*T57,0)</f>
        <v>0</v>
      </c>
      <c r="U63" s="141">
        <f>IF(Calcoli!$D$230=TRUE,Calcoli!T246*U57,0)</f>
        <v>0</v>
      </c>
      <c r="V63" s="141">
        <f>IF(Calcoli!$D$230=TRUE,Calcoli!U246*V57,0)</f>
        <v>0</v>
      </c>
      <c r="W63" s="141">
        <f>IF(Calcoli!$D$230=TRUE,Calcoli!V246*W57,0)</f>
        <v>0</v>
      </c>
      <c r="X63" s="141">
        <f>IF(Calcoli!$D$230=TRUE,Calcoli!W246*X57,0)</f>
        <v>0</v>
      </c>
      <c r="Y63" s="141">
        <f>IF(Calcoli!$Q$49=2,Y57*Calcoli!X246,0)</f>
        <v>0</v>
      </c>
      <c r="Z63" s="141">
        <f>IF(Calcoli!$Q$49=2,Z57*Calcoli!Y246,0)</f>
        <v>0</v>
      </c>
      <c r="AA63" s="141">
        <f>IF(Calcoli!$Q$49=2,AA57*Calcoli!Z246,0)</f>
        <v>0</v>
      </c>
      <c r="AB63" s="141">
        <f>IF(Calcoli!$Q$49=2,AB57*Calcoli!AA246,0)</f>
        <v>0</v>
      </c>
      <c r="AC63" s="141">
        <f>IF(Calcoli!$Q$49=2,AC57*Calcoli!AB246,0)</f>
        <v>0</v>
      </c>
    </row>
    <row r="64" spans="1:29" ht="16.5" thickBot="1">
      <c r="A64" s="150" t="s">
        <v>39</v>
      </c>
      <c r="B64" s="151"/>
      <c r="C64" s="151"/>
      <c r="D64" s="60"/>
      <c r="E64" s="143">
        <f>(Calcoli!D242*E56)</f>
        <v>270</v>
      </c>
      <c r="F64" s="143">
        <f>(Calcoli!E242*F56)</f>
        <v>286.416</v>
      </c>
      <c r="G64" s="143">
        <f>(Calcoli!F242*G56)</f>
        <v>303.83009279999999</v>
      </c>
      <c r="H64" s="143">
        <f>(Calcoli!G242*H56)</f>
        <v>322.30296244223996</v>
      </c>
      <c r="I64" s="143">
        <f>(Calcoli!H242*I56)</f>
        <v>341.89898255872816</v>
      </c>
      <c r="J64" s="143">
        <f>(Calcoli!I242*J56)</f>
        <v>362.68644069829884</v>
      </c>
      <c r="K64" s="143">
        <f>(Calcoli!J242*K56)</f>
        <v>384.73777629275543</v>
      </c>
      <c r="L64" s="143">
        <f>(Calcoli!K242*L56)</f>
        <v>408.1298330913549</v>
      </c>
      <c r="M64" s="143">
        <f>(Calcoli!L242*M56)</f>
        <v>432.94412694330936</v>
      </c>
      <c r="N64" s="143">
        <f>(Calcoli!M242*N56)</f>
        <v>459.26712986146254</v>
      </c>
      <c r="O64" s="143">
        <f>(Calcoli!N242*O56)</f>
        <v>487.19057135703952</v>
      </c>
      <c r="P64" s="143">
        <f>(Calcoli!O242*P56)</f>
        <v>516.81175809554748</v>
      </c>
      <c r="Q64" s="143">
        <f>(Calcoli!P242*Q56)</f>
        <v>548.23391298775675</v>
      </c>
      <c r="R64" s="143">
        <f>(Calcoli!Q242*R56)</f>
        <v>581.56653489741234</v>
      </c>
      <c r="S64" s="143">
        <f>(Calcoli!R242*S56)</f>
        <v>616.92578021917495</v>
      </c>
      <c r="T64" s="143">
        <f>(Calcoli!S242*T56)</f>
        <v>654.43486765650084</v>
      </c>
      <c r="U64" s="143">
        <f>(Calcoli!T242*U56)</f>
        <v>694.22450761001596</v>
      </c>
      <c r="V64" s="143">
        <f>(Calcoli!U242*V56)</f>
        <v>736.43335767270503</v>
      </c>
      <c r="W64" s="143">
        <f>(Calcoli!V242*W56)</f>
        <v>781.20850581920536</v>
      </c>
      <c r="X64" s="143">
        <f>(Calcoli!W242*X56)</f>
        <v>828.70598297301308</v>
      </c>
      <c r="Y64" s="143">
        <f>(Calcoli!X242*Y56)</f>
        <v>879.09130673777224</v>
      </c>
      <c r="Z64" s="143">
        <f>(Calcoli!Y242*Z56)</f>
        <v>932.54005818742871</v>
      </c>
      <c r="AA64" s="143">
        <f>(Calcoli!Z242*AA56)</f>
        <v>989.23849372522432</v>
      </c>
      <c r="AB64" s="143">
        <f>(Calcoli!AA242*AB56)</f>
        <v>1049.3841941437181</v>
      </c>
      <c r="AC64" s="143">
        <f>(Calcoli!AB242*AC56)</f>
        <v>1113.1867531476562</v>
      </c>
    </row>
    <row r="65" spans="1:29" ht="16.5" thickBot="1">
      <c r="A65" s="62" t="s">
        <v>148</v>
      </c>
      <c r="B65" s="60"/>
      <c r="C65" s="60"/>
      <c r="D65" s="60"/>
      <c r="E65" s="138">
        <f>SUM(E59:E64)</f>
        <v>933.6</v>
      </c>
      <c r="F65" s="139">
        <f t="shared" ref="F65:X65" si="26">SUM(F59:F64)</f>
        <v>940.47659999999996</v>
      </c>
      <c r="G65" s="139">
        <f t="shared" si="26"/>
        <v>948.36580739999977</v>
      </c>
      <c r="H65" s="139">
        <f t="shared" si="26"/>
        <v>957.32674881083972</v>
      </c>
      <c r="I65" s="139">
        <f t="shared" si="26"/>
        <v>967.42222591401037</v>
      </c>
      <c r="J65" s="139">
        <f t="shared" si="26"/>
        <v>978.71893934866353</v>
      </c>
      <c r="K65" s="139">
        <f t="shared" si="26"/>
        <v>991.28772623025247</v>
      </c>
      <c r="L65" s="139">
        <f t="shared" si="26"/>
        <v>1005.2038121298997</v>
      </c>
      <c r="M65" s="139">
        <f t="shared" si="26"/>
        <v>1020.5470783940023</v>
      </c>
      <c r="N65" s="139">
        <f t="shared" si="26"/>
        <v>1037.402345737064</v>
      </c>
      <c r="O65" s="139">
        <f t="shared" si="26"/>
        <v>1055.8596750974848</v>
      </c>
      <c r="P65" s="139">
        <f t="shared" si="26"/>
        <v>1076.0146868062075</v>
      </c>
      <c r="Q65" s="139">
        <f t="shared" si="26"/>
        <v>1097.9688991819771</v>
      </c>
      <c r="R65" s="139">
        <f t="shared" si="26"/>
        <v>1121.8300877346801</v>
      </c>
      <c r="S65" s="139">
        <f t="shared" si="26"/>
        <v>1147.7126662300784</v>
      </c>
      <c r="T65" s="139">
        <f t="shared" si="26"/>
        <v>1175.738090945461</v>
      </c>
      <c r="U65" s="139">
        <f t="shared" si="26"/>
        <v>1206.0352895265733</v>
      </c>
      <c r="V65" s="139">
        <f t="shared" si="26"/>
        <v>1238.7411159419551</v>
      </c>
      <c r="W65" s="139">
        <f t="shared" si="26"/>
        <v>1274.0008331217728</v>
      </c>
      <c r="X65" s="140">
        <f t="shared" si="26"/>
        <v>1311.9686249647527</v>
      </c>
      <c r="Y65" s="140">
        <f t="shared" ref="Y65:AC65" si="27">SUM(Y59:Y64)</f>
        <v>1109.9634672945904</v>
      </c>
      <c r="Z65" s="140">
        <f t="shared" si="27"/>
        <v>1146.6240873136176</v>
      </c>
      <c r="AA65" s="140">
        <f t="shared" si="27"/>
        <v>1184.5691901644</v>
      </c>
      <c r="AB65" s="140">
        <f t="shared" si="27"/>
        <v>1223.8479334481126</v>
      </c>
      <c r="AC65" s="140">
        <f t="shared" si="27"/>
        <v>1264.5115768585001</v>
      </c>
    </row>
    <row r="66" spans="1:29" ht="11.25" customHeight="1">
      <c r="A66" s="62"/>
      <c r="B66" s="60"/>
      <c r="C66" s="60"/>
      <c r="D66" s="6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spans="1:29" ht="15.75">
      <c r="A67" s="152" t="s">
        <v>91</v>
      </c>
      <c r="B67" s="153"/>
      <c r="C67" s="60"/>
      <c r="D67" s="60"/>
      <c r="E67" s="64">
        <f>IF(Calcoli!$I$72=TRUE,Calcoli!D88,0)</f>
        <v>270</v>
      </c>
      <c r="F67" s="64">
        <f>IF(Calcoli!$I$72=TRUE,Calcoli!E88,0)</f>
        <v>540</v>
      </c>
      <c r="G67" s="64">
        <f>IF(Calcoli!$I$72=TRUE,Calcoli!F88,0)</f>
        <v>540</v>
      </c>
      <c r="H67" s="64">
        <f>IF(Calcoli!$I$72=TRUE,Calcoli!G88,0)</f>
        <v>540</v>
      </c>
      <c r="I67" s="64">
        <f>IF(Calcoli!$I$72=TRUE,Calcoli!H88,0)</f>
        <v>540</v>
      </c>
      <c r="J67" s="64">
        <f>IF(Calcoli!$I$72=TRUE,Calcoli!I88,0)</f>
        <v>540</v>
      </c>
      <c r="K67" s="64">
        <f>IF(Calcoli!$I$72=TRUE,Calcoli!J88,0)</f>
        <v>540</v>
      </c>
      <c r="L67" s="64">
        <f>IF(Calcoli!$I$72=TRUE,Calcoli!K88,0)</f>
        <v>540</v>
      </c>
      <c r="M67" s="64">
        <f>IF(Calcoli!$I$72=TRUE,Calcoli!L88,0)</f>
        <v>540</v>
      </c>
      <c r="N67" s="64">
        <f>IF(Calcoli!$I$72=TRUE,Calcoli!M88,0)</f>
        <v>540</v>
      </c>
      <c r="O67" s="64">
        <f>IF(Calcoli!$I$72=TRUE,Calcoli!N88,0)</f>
        <v>540</v>
      </c>
      <c r="P67" s="64">
        <f>IF(Calcoli!$I$72=TRUE,Calcoli!O88,0)</f>
        <v>330</v>
      </c>
      <c r="Q67" s="64">
        <f>IF(Calcoli!$I$72=TRUE,Calcoli!P88,0)</f>
        <v>0</v>
      </c>
      <c r="R67" s="64">
        <f>IF(Calcoli!$I$72=TRUE,Calcoli!Q88,0)</f>
        <v>0</v>
      </c>
      <c r="S67" s="64">
        <f>IF(Calcoli!$I$72=TRUE,Calcoli!R88,0)</f>
        <v>0</v>
      </c>
      <c r="T67" s="64">
        <f>IF(Calcoli!$I$72=TRUE,Calcoli!S88,0)</f>
        <v>0</v>
      </c>
      <c r="U67" s="64">
        <f>IF(Calcoli!$I$72=TRUE,Calcoli!T88,0)</f>
        <v>0</v>
      </c>
      <c r="V67" s="64">
        <f>IF(Calcoli!$I$72=TRUE,Calcoli!U88,0)</f>
        <v>0</v>
      </c>
      <c r="W67" s="64">
        <f>IF(Calcoli!$I$72=TRUE,Calcoli!V88,0)</f>
        <v>0</v>
      </c>
      <c r="X67" s="64">
        <f>IF(Calcoli!$I$72=TRUE,Calcoli!W88,0)</f>
        <v>0</v>
      </c>
      <c r="Y67" s="64">
        <f>IF(Calcoli!$I$72=TRUE,Calcoli!X88,0)</f>
        <v>0</v>
      </c>
      <c r="Z67" s="64">
        <f>IF(Calcoli!$I$72=TRUE,Calcoli!Y88,0)</f>
        <v>0</v>
      </c>
      <c r="AA67" s="64">
        <f>IF(Calcoli!$I$72=TRUE,Calcoli!Z88,0)</f>
        <v>0</v>
      </c>
      <c r="AB67" s="64">
        <f>IF(Calcoli!$I$72=TRUE,Calcoli!AA88,0)</f>
        <v>0</v>
      </c>
      <c r="AC67" s="64">
        <f>IF(Calcoli!$I$72=TRUE,Calcoli!AB88,0)</f>
        <v>0</v>
      </c>
    </row>
    <row r="68" spans="1:29" ht="15.75">
      <c r="A68" s="152" t="s">
        <v>120</v>
      </c>
      <c r="B68" s="153"/>
      <c r="C68" s="60"/>
      <c r="D68" s="60"/>
      <c r="E68" s="102">
        <f>IF(Calcoli!$L$72=FALSE,Calcoli!D68,0)</f>
        <v>602.875</v>
      </c>
      <c r="F68" s="102">
        <f>IF(Calcoli!$L$72=FALSE,Calcoli!E68,0)</f>
        <v>348.75159999999994</v>
      </c>
      <c r="G68" s="102">
        <f>IF(Calcoli!$L$72=FALSE,Calcoli!F68,0)</f>
        <v>356.64080739999974</v>
      </c>
      <c r="H68" s="102">
        <f>IF(Calcoli!$L$72=FALSE,Calcoli!G68,0)</f>
        <v>365.60174881083969</v>
      </c>
      <c r="I68" s="102">
        <f>IF(Calcoli!$L$72=FALSE,Calcoli!H68,0)</f>
        <v>375.69722591401035</v>
      </c>
      <c r="J68" s="102">
        <f>IF(Calcoli!$L$72=FALSE,Calcoli!I68,0)</f>
        <v>386.9939393486635</v>
      </c>
      <c r="K68" s="102">
        <f>IF(Calcoli!$L$72=FALSE,Calcoli!J68,0)</f>
        <v>399.56272623025245</v>
      </c>
      <c r="L68" s="102">
        <f>IF(Calcoli!$L$72=FALSE,Calcoli!K68,0)</f>
        <v>413.47881212989967</v>
      </c>
      <c r="M68" s="102">
        <f>IF(Calcoli!$L$72=FALSE,Calcoli!L68,0)</f>
        <v>428.82207839400223</v>
      </c>
      <c r="N68" s="102">
        <f>IF(Calcoli!$L$72=FALSE,Calcoli!M68,0)</f>
        <v>445.677345737064</v>
      </c>
      <c r="O68" s="102">
        <f>IF(Calcoli!$L$72=FALSE,Calcoli!N68,0)</f>
        <v>464.13467509748477</v>
      </c>
      <c r="P68" s="102">
        <f>IF(Calcoli!$L$72=FALSE,Calcoli!O68,0)</f>
        <v>694.28968680620744</v>
      </c>
      <c r="Q68" s="102">
        <f>IF(Calcoli!$L$72=FALSE,Calcoli!P68,0)</f>
        <v>1046.2438991819772</v>
      </c>
      <c r="R68" s="102">
        <f>IF(Calcoli!$L$72=FALSE,Calcoli!Q68,0)</f>
        <v>1070.1050877346802</v>
      </c>
      <c r="S68" s="102">
        <f>IF(Calcoli!$L$72=FALSE,Calcoli!R68,0)</f>
        <v>1095.9876662300785</v>
      </c>
      <c r="T68" s="102">
        <f>IF(Calcoli!$L$72=FALSE,Calcoli!S68,0)</f>
        <v>1124.013090945461</v>
      </c>
      <c r="U68" s="102">
        <f>IF(Calcoli!$L$72=FALSE,Calcoli!T68,0)</f>
        <v>1154.3102895265733</v>
      </c>
      <c r="V68" s="102">
        <f>IF(Calcoli!$L$72=FALSE,Calcoli!U68,0)</f>
        <v>1187.0161159419551</v>
      </c>
      <c r="W68" s="102">
        <f>IF(Calcoli!$L$72=FALSE,Calcoli!V68,0)</f>
        <v>1222.2758331217728</v>
      </c>
      <c r="X68" s="102">
        <f>IF(Calcoli!$L$72=FALSE,Calcoli!W68,0)</f>
        <v>1260.2436249647528</v>
      </c>
      <c r="Y68" s="102">
        <f>IF(Calcoli!$L$72=FALSE,Calcoli!X68,0)</f>
        <v>1058.2384672945905</v>
      </c>
      <c r="Z68" s="102">
        <f>IF(Calcoli!$L$72=FALSE,Calcoli!Y68,0)</f>
        <v>1094.8990873136177</v>
      </c>
      <c r="AA68" s="102">
        <f>IF(Calcoli!$L$72=FALSE,Calcoli!Z68,0)</f>
        <v>1132.8441901644001</v>
      </c>
      <c r="AB68" s="102">
        <f>IF(Calcoli!$L$72=FALSE,Calcoli!AA68,0)</f>
        <v>1172.1229334481127</v>
      </c>
      <c r="AC68" s="102">
        <f>IF(Calcoli!$L$72=FALSE,Calcoli!AB68,0)</f>
        <v>1212.7865768585002</v>
      </c>
    </row>
    <row r="69" spans="1:29" ht="15.75">
      <c r="A69" s="152" t="s">
        <v>89</v>
      </c>
      <c r="B69" s="153"/>
      <c r="C69" s="60"/>
      <c r="D69" s="60"/>
      <c r="E69" s="64">
        <f>IF(Calcoli!$I$76=TRUE,Calcoli!D111,0)</f>
        <v>138.66125</v>
      </c>
      <c r="F69" s="64">
        <f>IF(Calcoli!$I$76=TRUE,Calcoli!E111,0)</f>
        <v>80.212867999999986</v>
      </c>
      <c r="G69" s="64">
        <f>IF(Calcoli!$I$76=TRUE,Calcoli!F111,0)</f>
        <v>82.027385701999933</v>
      </c>
      <c r="H69" s="64">
        <f>IF(Calcoli!$I$76=TRUE,Calcoli!G111,0)</f>
        <v>84.08840222649313</v>
      </c>
      <c r="I69" s="64">
        <f>IF(Calcoli!$I$76=TRUE,Calcoli!H111,0)</f>
        <v>86.410361960222374</v>
      </c>
      <c r="J69" s="64">
        <f>IF(Calcoli!$I$76=TRUE,Calcoli!I111,0)</f>
        <v>89.008606050192597</v>
      </c>
      <c r="K69" s="64">
        <f>IF(Calcoli!$I$76=TRUE,Calcoli!J111,0)</f>
        <v>91.899427032958059</v>
      </c>
      <c r="L69" s="64">
        <f>IF(Calcoli!$I$76=TRUE,Calcoli!K111,0)</f>
        <v>95.100126789876924</v>
      </c>
      <c r="M69" s="64">
        <f>IF(Calcoli!$I$76=TRUE,Calcoli!L111,0)</f>
        <v>98.629078030620505</v>
      </c>
      <c r="N69" s="64">
        <f>IF(Calcoli!$I$76=TRUE,Calcoli!M111,0)</f>
        <v>102.50578951952473</v>
      </c>
      <c r="O69" s="64">
        <f>IF(Calcoli!$I$76=TRUE,Calcoli!N111,0)</f>
        <v>106.7509752724215</v>
      </c>
      <c r="P69" s="64">
        <f>IF(Calcoli!$I$76=TRUE,Calcoli!O111,0)</f>
        <v>159.68662796542773</v>
      </c>
      <c r="Q69" s="64">
        <f>IF(Calcoli!$I$76=TRUE,Calcoli!P111,0)</f>
        <v>240.63609681185474</v>
      </c>
      <c r="R69" s="64">
        <f>IF(Calcoli!$I$76=TRUE,Calcoli!Q111,0)</f>
        <v>246.12417017897644</v>
      </c>
      <c r="S69" s="64">
        <f>IF(Calcoli!$I$76=TRUE,Calcoli!R111,0)</f>
        <v>252.07716323291805</v>
      </c>
      <c r="T69" s="64">
        <f>IF(Calcoli!$I$76=TRUE,Calcoli!S111,0)</f>
        <v>258.52301091745602</v>
      </c>
      <c r="U69" s="64">
        <f>IF(Calcoli!$I$76=TRUE,Calcoli!T111,0)</f>
        <v>265.49136659111184</v>
      </c>
      <c r="V69" s="64">
        <f>IF(Calcoli!$I$76=TRUE,Calcoli!U111,0)</f>
        <v>273.01370666664968</v>
      </c>
      <c r="W69" s="64">
        <f>IF(Calcoli!$I$76=TRUE,Calcoli!V111,0)</f>
        <v>281.12344161800775</v>
      </c>
      <c r="X69" s="64">
        <f>IF(Calcoli!$I$76=TRUE,Calcoli!W111,0)</f>
        <v>289.85603374189316</v>
      </c>
      <c r="Y69" s="64">
        <f>IF(Calcoli!$I$76=TRUE,Calcoli!X111,0)</f>
        <v>243.3948474777558</v>
      </c>
      <c r="Z69" s="64">
        <f>IF(Calcoli!$I$76=TRUE,Calcoli!Y111,0)</f>
        <v>251.82679008213208</v>
      </c>
      <c r="AA69" s="64">
        <f>IF(Calcoli!$I$76=TRUE,Calcoli!Z111,0)</f>
        <v>260.55416373781202</v>
      </c>
      <c r="AB69" s="64">
        <f>IF(Calcoli!$I$76=TRUE,Calcoli!AA111,0)</f>
        <v>269.5882746930659</v>
      </c>
      <c r="AC69" s="64">
        <f>IF(Calcoli!$I$76=TRUE,Calcoli!AB111,0)</f>
        <v>278.94091267745506</v>
      </c>
    </row>
    <row r="70" spans="1:29" ht="15.75">
      <c r="A70" s="152" t="s">
        <v>119</v>
      </c>
      <c r="B70" s="153"/>
      <c r="C70" s="60"/>
      <c r="D70" s="60"/>
      <c r="E70" s="147">
        <f>IF(Calcoli!$I$78=TRUE,E68/100*$K$21,0)</f>
        <v>0</v>
      </c>
      <c r="F70" s="147">
        <f>IF(Calcoli!$I$78=TRUE,F68/100*$K$21,0)</f>
        <v>0</v>
      </c>
      <c r="G70" s="147">
        <f>IF(Calcoli!$I$78=TRUE,G68/100*$K$21,0)</f>
        <v>0</v>
      </c>
      <c r="H70" s="147">
        <f>IF(Calcoli!$I$78=TRUE,H68/100*$K$21,0)</f>
        <v>0</v>
      </c>
      <c r="I70" s="147">
        <f>IF(Calcoli!$I$78=TRUE,I68/100*$K$21,0)</f>
        <v>0</v>
      </c>
      <c r="J70" s="147">
        <f>IF(Calcoli!$I$78=TRUE,J68/100*$K$21,0)</f>
        <v>0</v>
      </c>
      <c r="K70" s="147">
        <f>IF(Calcoli!$I$78=TRUE,K68/100*$K$21,0)</f>
        <v>0</v>
      </c>
      <c r="L70" s="147">
        <f>IF(Calcoli!$I$78=TRUE,L68/100*$K$21,0)</f>
        <v>0</v>
      </c>
      <c r="M70" s="147">
        <f>IF(Calcoli!$I$78=TRUE,M68/100*$K$21,0)</f>
        <v>0</v>
      </c>
      <c r="N70" s="147">
        <f>IF(Calcoli!$I$78=TRUE,N68/100*$K$21,0)</f>
        <v>0</v>
      </c>
      <c r="O70" s="147">
        <f>IF(Calcoli!$I$78=TRUE,O68/100*$K$21,0)</f>
        <v>0</v>
      </c>
      <c r="P70" s="147">
        <f>IF(Calcoli!$I$78=TRUE,P68/100*$K$21,0)</f>
        <v>0</v>
      </c>
      <c r="Q70" s="147">
        <f>IF(Calcoli!$I$78=TRUE,Q68/100*$K$21,0)</f>
        <v>0</v>
      </c>
      <c r="R70" s="147">
        <f>IF(Calcoli!$I$78=TRUE,R68/100*$K$21,0)</f>
        <v>0</v>
      </c>
      <c r="S70" s="147">
        <f>IF(Calcoli!$I$78=TRUE,S68/100*$K$21,0)</f>
        <v>0</v>
      </c>
      <c r="T70" s="147">
        <f>IF(Calcoli!$I$78=TRUE,T68/100*$K$21,0)</f>
        <v>0</v>
      </c>
      <c r="U70" s="147">
        <f>IF(Calcoli!$I$78=TRUE,U68/100*$K$21,0)</f>
        <v>0</v>
      </c>
      <c r="V70" s="147">
        <f>IF(Calcoli!$I$78=TRUE,V68/100*$K$21,0)</f>
        <v>0</v>
      </c>
      <c r="W70" s="147">
        <f>IF(Calcoli!$I$78=TRUE,W68/100*$K$21,0)</f>
        <v>0</v>
      </c>
      <c r="X70" s="147">
        <f>IF(Calcoli!$I$78=TRUE,X68/100*$K$21,0)</f>
        <v>0</v>
      </c>
      <c r="Y70" s="147">
        <f>IF(Calcoli!$I$78=TRUE,Y68/100*$K$21,0)</f>
        <v>0</v>
      </c>
      <c r="Z70" s="147">
        <f>IF(Calcoli!$I$78=TRUE,Z68/100*$K$21,0)</f>
        <v>0</v>
      </c>
      <c r="AA70" s="147">
        <f>IF(Calcoli!$I$78=TRUE,AA68/100*$K$21,0)</f>
        <v>0</v>
      </c>
      <c r="AB70" s="147">
        <f>IF(Calcoli!$I$78=TRUE,AB68/100*$K$21,0)</f>
        <v>0</v>
      </c>
      <c r="AC70" s="147">
        <f>IF(Calcoli!$I$78=TRUE,AC68/100*$K$21,0)</f>
        <v>0</v>
      </c>
    </row>
    <row r="71" spans="1:29" ht="15.75">
      <c r="A71" s="152" t="s">
        <v>90</v>
      </c>
      <c r="B71" s="153"/>
      <c r="C71" s="60"/>
      <c r="D71" s="60"/>
      <c r="E71" s="64">
        <f>IF(Calcoli!$I$74=TRUE,E68/100*$K$19,0)</f>
        <v>0</v>
      </c>
      <c r="F71" s="64">
        <f>IF(Calcoli!$I$74=TRUE,F68/100*$K$19,0)</f>
        <v>0</v>
      </c>
      <c r="G71" s="64">
        <f>IF(Calcoli!$I$74=TRUE,G68/100*$K$19,0)</f>
        <v>0</v>
      </c>
      <c r="H71" s="64">
        <f>IF(Calcoli!$I$74=TRUE,H68/100*$K$19,0)</f>
        <v>0</v>
      </c>
      <c r="I71" s="64">
        <f>IF(Calcoli!$I$74=TRUE,I68/100*$K$19,0)</f>
        <v>0</v>
      </c>
      <c r="J71" s="64">
        <f>IF(Calcoli!$I$74=TRUE,J68/100*$K$19,0)</f>
        <v>0</v>
      </c>
      <c r="K71" s="64">
        <f>IF(Calcoli!$I$74=TRUE,K68/100*$K$19,0)</f>
        <v>0</v>
      </c>
      <c r="L71" s="64">
        <f>IF(Calcoli!$I$74=TRUE,L68/100*$K$19,0)</f>
        <v>0</v>
      </c>
      <c r="M71" s="64">
        <f>IF(Calcoli!$I$74=TRUE,M68/100*$K$19,0)</f>
        <v>0</v>
      </c>
      <c r="N71" s="64">
        <f>IF(Calcoli!$I$74=TRUE,N68/100*$K$19,0)</f>
        <v>0</v>
      </c>
      <c r="O71" s="64">
        <f>IF(Calcoli!$I$74=TRUE,O68/100*$K$19,0)</f>
        <v>0</v>
      </c>
      <c r="P71" s="64">
        <f>IF(Calcoli!$I$74=TRUE,P68/100*$K$19,0)</f>
        <v>0</v>
      </c>
      <c r="Q71" s="64">
        <f>IF(Calcoli!$I$74=TRUE,Q68/100*$K$19,0)</f>
        <v>0</v>
      </c>
      <c r="R71" s="64">
        <f>IF(Calcoli!$I$74=TRUE,R68/100*$K$19,0)</f>
        <v>0</v>
      </c>
      <c r="S71" s="64">
        <f>IF(Calcoli!$I$74=TRUE,S68/100*$K$19,0)</f>
        <v>0</v>
      </c>
      <c r="T71" s="64">
        <f>IF(Calcoli!$I$74=TRUE,T68/100*$K$19,0)</f>
        <v>0</v>
      </c>
      <c r="U71" s="64">
        <f>IF(Calcoli!$I$74=TRUE,U68/100*$K$19,0)</f>
        <v>0</v>
      </c>
      <c r="V71" s="64">
        <f>IF(Calcoli!$I$74=TRUE,V68/100*$K$19,0)</f>
        <v>0</v>
      </c>
      <c r="W71" s="64">
        <f>IF(Calcoli!$I$74=TRUE,W68/100*$K$19,0)</f>
        <v>0</v>
      </c>
      <c r="X71" s="64">
        <f>IF(Calcoli!$I$74=TRUE,X68/100*$K$19,0)</f>
        <v>0</v>
      </c>
      <c r="Y71" s="64">
        <f>IF(Calcoli!$I$74=TRUE,Y68/100*$K$19,0)</f>
        <v>0</v>
      </c>
      <c r="Z71" s="64">
        <f>IF(Calcoli!$I$74=TRUE,Z68/100*$K$19,0)</f>
        <v>0</v>
      </c>
      <c r="AA71" s="64">
        <f>IF(Calcoli!$I$74=TRUE,AA68/100*$K$19,0)</f>
        <v>0</v>
      </c>
      <c r="AB71" s="64">
        <f>IF(Calcoli!$I$74=TRUE,AB68/100*$K$19,0)</f>
        <v>0</v>
      </c>
      <c r="AC71" s="64">
        <f>IF(Calcoli!$I$74=TRUE,AC68/100*$K$19,0)</f>
        <v>0</v>
      </c>
    </row>
    <row r="72" spans="1:29" ht="15.75">
      <c r="A72" s="154" t="s">
        <v>41</v>
      </c>
      <c r="B72" s="155"/>
      <c r="C72" s="60"/>
      <c r="D72" s="60"/>
      <c r="E72" s="144">
        <f>$C$38</f>
        <v>50</v>
      </c>
      <c r="F72" s="144">
        <f t="shared" ref="F72:AC72" si="28">$C$38</f>
        <v>50</v>
      </c>
      <c r="G72" s="144">
        <f t="shared" si="28"/>
        <v>50</v>
      </c>
      <c r="H72" s="144">
        <f t="shared" si="28"/>
        <v>50</v>
      </c>
      <c r="I72" s="144">
        <f t="shared" si="28"/>
        <v>50</v>
      </c>
      <c r="J72" s="144">
        <f t="shared" si="28"/>
        <v>50</v>
      </c>
      <c r="K72" s="144">
        <f t="shared" si="28"/>
        <v>50</v>
      </c>
      <c r="L72" s="144">
        <f t="shared" si="28"/>
        <v>50</v>
      </c>
      <c r="M72" s="144">
        <f t="shared" si="28"/>
        <v>50</v>
      </c>
      <c r="N72" s="144">
        <f t="shared" si="28"/>
        <v>50</v>
      </c>
      <c r="O72" s="144">
        <f t="shared" si="28"/>
        <v>50</v>
      </c>
      <c r="P72" s="144">
        <f t="shared" si="28"/>
        <v>50</v>
      </c>
      <c r="Q72" s="144">
        <f t="shared" si="28"/>
        <v>50</v>
      </c>
      <c r="R72" s="144">
        <f t="shared" si="28"/>
        <v>50</v>
      </c>
      <c r="S72" s="144">
        <f t="shared" si="28"/>
        <v>50</v>
      </c>
      <c r="T72" s="144">
        <f t="shared" si="28"/>
        <v>50</v>
      </c>
      <c r="U72" s="144">
        <f t="shared" si="28"/>
        <v>50</v>
      </c>
      <c r="V72" s="144">
        <f t="shared" si="28"/>
        <v>50</v>
      </c>
      <c r="W72" s="144">
        <f t="shared" si="28"/>
        <v>50</v>
      </c>
      <c r="X72" s="144">
        <f t="shared" si="28"/>
        <v>50</v>
      </c>
      <c r="Y72" s="144">
        <f t="shared" si="28"/>
        <v>50</v>
      </c>
      <c r="Z72" s="144">
        <f t="shared" si="28"/>
        <v>50</v>
      </c>
      <c r="AA72" s="144">
        <f t="shared" si="28"/>
        <v>50</v>
      </c>
      <c r="AB72" s="144">
        <f t="shared" si="28"/>
        <v>50</v>
      </c>
      <c r="AC72" s="144">
        <f t="shared" si="28"/>
        <v>50</v>
      </c>
    </row>
    <row r="73" spans="1:29" ht="15.75">
      <c r="A73" s="154" t="s">
        <v>81</v>
      </c>
      <c r="B73" s="155"/>
      <c r="C73" s="60"/>
      <c r="D73" s="60"/>
      <c r="E73" s="144">
        <f>IF(Calcoli!$D$1&lt;6,C40,0)</f>
        <v>9</v>
      </c>
      <c r="F73" s="144">
        <v>0</v>
      </c>
      <c r="G73" s="144">
        <v>0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4">
        <v>0</v>
      </c>
    </row>
    <row r="74" spans="1:29" ht="15.75">
      <c r="A74" s="154" t="s">
        <v>80</v>
      </c>
      <c r="B74" s="155"/>
      <c r="C74" s="60"/>
      <c r="D74" s="60"/>
      <c r="E74" s="144">
        <f>IF(Calcoli!$D$1&lt;6,$C$41,0)</f>
        <v>1.7250000000000001</v>
      </c>
      <c r="F74" s="144">
        <f>IF(Calcoli!$D$1&lt;6,$C$41,0)</f>
        <v>1.7250000000000001</v>
      </c>
      <c r="G74" s="144">
        <f>IF(Calcoli!$D$1&lt;6,$C$41,0)</f>
        <v>1.7250000000000001</v>
      </c>
      <c r="H74" s="144">
        <f>IF(Calcoli!$D$1&lt;6,$C$41,0)</f>
        <v>1.7250000000000001</v>
      </c>
      <c r="I74" s="144">
        <f>IF(Calcoli!$D$1&lt;6,$C$41,0)</f>
        <v>1.7250000000000001</v>
      </c>
      <c r="J74" s="144">
        <f>IF(Calcoli!$D$1&lt;6,$C$41,0)</f>
        <v>1.7250000000000001</v>
      </c>
      <c r="K74" s="144">
        <f>IF(Calcoli!$D$1&lt;6,$C$41,0)</f>
        <v>1.7250000000000001</v>
      </c>
      <c r="L74" s="144">
        <f>IF(Calcoli!$D$1&lt;6,$C$41,0)</f>
        <v>1.7250000000000001</v>
      </c>
      <c r="M74" s="144">
        <f>IF(Calcoli!$D$1&lt;6,$C$41,0)</f>
        <v>1.7250000000000001</v>
      </c>
      <c r="N74" s="144">
        <f>IF(Calcoli!$D$1&lt;6,$C$41,0)</f>
        <v>1.7250000000000001</v>
      </c>
      <c r="O74" s="144">
        <f>IF(Calcoli!$D$1&lt;6,$C$41,0)</f>
        <v>1.7250000000000001</v>
      </c>
      <c r="P74" s="144">
        <f>IF(Calcoli!$D$1&lt;6,$C$41,0)</f>
        <v>1.7250000000000001</v>
      </c>
      <c r="Q74" s="144">
        <f>IF(Calcoli!$D$1&lt;6,$C$41,0)</f>
        <v>1.7250000000000001</v>
      </c>
      <c r="R74" s="144">
        <f>IF(Calcoli!$D$1&lt;6,$C$41,0)</f>
        <v>1.7250000000000001</v>
      </c>
      <c r="S74" s="144">
        <f>IF(Calcoli!$D$1&lt;6,$C$41,0)</f>
        <v>1.7250000000000001</v>
      </c>
      <c r="T74" s="144">
        <f>IF(Calcoli!$D$1&lt;6,$C$41,0)</f>
        <v>1.7250000000000001</v>
      </c>
      <c r="U74" s="144">
        <f>IF(Calcoli!$D$1&lt;6,$C$41,0)</f>
        <v>1.7250000000000001</v>
      </c>
      <c r="V74" s="144">
        <f>IF(Calcoli!$D$1&lt;6,$C$41,0)</f>
        <v>1.7250000000000001</v>
      </c>
      <c r="W74" s="144">
        <f>IF(Calcoli!$D$1&lt;6,$C$41,0)</f>
        <v>1.7250000000000001</v>
      </c>
      <c r="X74" s="144">
        <f>IF(Calcoli!$D$1&lt;6,$C$41,0)</f>
        <v>1.7250000000000001</v>
      </c>
      <c r="Y74" s="144">
        <f>IF(Calcoli!$D$1&lt;6,$C$41,0)</f>
        <v>1.7250000000000001</v>
      </c>
      <c r="Z74" s="144">
        <f>IF(Calcoli!$D$1&lt;6,$C$41,0)</f>
        <v>1.7250000000000001</v>
      </c>
      <c r="AA74" s="144">
        <f>IF(Calcoli!$D$1&lt;6,$C$41,0)</f>
        <v>1.7250000000000001</v>
      </c>
      <c r="AB74" s="144">
        <f>IF(Calcoli!$D$1&lt;6,$C$41,0)</f>
        <v>1.7250000000000001</v>
      </c>
      <c r="AC74" s="144">
        <f>IF(Calcoli!$D$1&lt;6,$C$41,0)</f>
        <v>1.7250000000000001</v>
      </c>
    </row>
    <row r="75" spans="1:29" ht="15.75">
      <c r="A75" s="154" t="s">
        <v>135</v>
      </c>
      <c r="B75" s="155"/>
      <c r="C75" s="60"/>
      <c r="D75" s="60"/>
      <c r="E75" s="144">
        <f>$C$42</f>
        <v>242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4">
        <v>0</v>
      </c>
    </row>
    <row r="76" spans="1:29" ht="15.75">
      <c r="A76" s="154" t="s">
        <v>85</v>
      </c>
      <c r="B76" s="155"/>
      <c r="C76" s="60"/>
      <c r="D76" s="60"/>
      <c r="E76" s="144">
        <f>$C$43</f>
        <v>50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4">
        <v>0</v>
      </c>
      <c r="AB76" s="144">
        <v>0</v>
      </c>
      <c r="AC76" s="144">
        <v>0</v>
      </c>
    </row>
    <row r="77" spans="1:29" ht="16.5" thickBot="1">
      <c r="A77" s="154" t="s">
        <v>37</v>
      </c>
      <c r="B77" s="155"/>
      <c r="C77" s="60"/>
      <c r="D77" s="60"/>
      <c r="E77" s="144">
        <f>IF(E80&lt;=$C$45,$C$44,0)</f>
        <v>50</v>
      </c>
      <c r="F77" s="144">
        <f t="shared" ref="F77:AC77" si="29">IF(F80&lt;=$C$45,$C$44,0)</f>
        <v>50</v>
      </c>
      <c r="G77" s="144">
        <f t="shared" si="29"/>
        <v>50</v>
      </c>
      <c r="H77" s="144">
        <f t="shared" si="29"/>
        <v>50</v>
      </c>
      <c r="I77" s="144">
        <f t="shared" si="29"/>
        <v>50</v>
      </c>
      <c r="J77" s="144">
        <f t="shared" si="29"/>
        <v>50</v>
      </c>
      <c r="K77" s="144">
        <f t="shared" si="29"/>
        <v>50</v>
      </c>
      <c r="L77" s="144">
        <f t="shared" si="29"/>
        <v>50</v>
      </c>
      <c r="M77" s="144">
        <f t="shared" si="29"/>
        <v>50</v>
      </c>
      <c r="N77" s="144">
        <f t="shared" si="29"/>
        <v>50</v>
      </c>
      <c r="O77" s="144">
        <f t="shared" si="29"/>
        <v>50</v>
      </c>
      <c r="P77" s="144">
        <f t="shared" si="29"/>
        <v>50</v>
      </c>
      <c r="Q77" s="144">
        <f t="shared" si="29"/>
        <v>50</v>
      </c>
      <c r="R77" s="144">
        <f t="shared" si="29"/>
        <v>50</v>
      </c>
      <c r="S77" s="144">
        <f t="shared" si="29"/>
        <v>50</v>
      </c>
      <c r="T77" s="144">
        <f t="shared" si="29"/>
        <v>50</v>
      </c>
      <c r="U77" s="144">
        <f t="shared" si="29"/>
        <v>50</v>
      </c>
      <c r="V77" s="144">
        <f t="shared" si="29"/>
        <v>50</v>
      </c>
      <c r="W77" s="144">
        <f t="shared" si="29"/>
        <v>50</v>
      </c>
      <c r="X77" s="144">
        <f t="shared" si="29"/>
        <v>50</v>
      </c>
      <c r="Y77" s="144">
        <f t="shared" si="29"/>
        <v>0</v>
      </c>
      <c r="Z77" s="144">
        <f t="shared" si="29"/>
        <v>0</v>
      </c>
      <c r="AA77" s="144">
        <f t="shared" si="29"/>
        <v>0</v>
      </c>
      <c r="AB77" s="144">
        <f t="shared" si="29"/>
        <v>0</v>
      </c>
      <c r="AC77" s="144">
        <f t="shared" si="29"/>
        <v>0</v>
      </c>
    </row>
    <row r="78" spans="1:29" ht="16.5" thickBot="1">
      <c r="A78" s="62" t="s">
        <v>149</v>
      </c>
      <c r="B78" s="60"/>
      <c r="C78" s="60"/>
      <c r="D78" s="60"/>
      <c r="E78" s="138">
        <f>SUM(E69:E77)</f>
        <v>541.38625000000002</v>
      </c>
      <c r="F78" s="139">
        <f>SUM(F69:F77)</f>
        <v>181.93786799999998</v>
      </c>
      <c r="G78" s="139">
        <f t="shared" ref="G78:X78" si="30">SUM(G69:G77)</f>
        <v>183.75238570199994</v>
      </c>
      <c r="H78" s="139">
        <f t="shared" si="30"/>
        <v>185.81340222649314</v>
      </c>
      <c r="I78" s="139">
        <f t="shared" si="30"/>
        <v>188.13536196022235</v>
      </c>
      <c r="J78" s="139">
        <f t="shared" si="30"/>
        <v>190.73360605019261</v>
      </c>
      <c r="K78" s="139">
        <f t="shared" si="30"/>
        <v>193.62442703295804</v>
      </c>
      <c r="L78" s="139">
        <f t="shared" si="30"/>
        <v>196.82512678987692</v>
      </c>
      <c r="M78" s="139">
        <f t="shared" si="30"/>
        <v>200.35407803062051</v>
      </c>
      <c r="N78" s="139">
        <f t="shared" si="30"/>
        <v>204.23078951952473</v>
      </c>
      <c r="O78" s="139">
        <f t="shared" si="30"/>
        <v>208.47597527242149</v>
      </c>
      <c r="P78" s="139">
        <f t="shared" si="30"/>
        <v>261.41162796542773</v>
      </c>
      <c r="Q78" s="139">
        <f t="shared" si="30"/>
        <v>342.36109681185474</v>
      </c>
      <c r="R78" s="139">
        <f t="shared" si="30"/>
        <v>347.84917017897646</v>
      </c>
      <c r="S78" s="139">
        <f t="shared" si="30"/>
        <v>353.80216323291808</v>
      </c>
      <c r="T78" s="139">
        <f t="shared" si="30"/>
        <v>360.24801091745604</v>
      </c>
      <c r="U78" s="139">
        <f t="shared" si="30"/>
        <v>367.21636659111186</v>
      </c>
      <c r="V78" s="139">
        <f t="shared" si="30"/>
        <v>374.7387066666497</v>
      </c>
      <c r="W78" s="139">
        <f t="shared" si="30"/>
        <v>382.84844161800777</v>
      </c>
      <c r="X78" s="140">
        <f t="shared" si="30"/>
        <v>391.58103374189318</v>
      </c>
      <c r="Y78" s="140">
        <f t="shared" ref="Y78:AC78" si="31">SUM(Y69:Y77)</f>
        <v>295.1198474777558</v>
      </c>
      <c r="Z78" s="140">
        <f t="shared" si="31"/>
        <v>303.55179008213213</v>
      </c>
      <c r="AA78" s="140">
        <f t="shared" si="31"/>
        <v>312.27916373781204</v>
      </c>
      <c r="AB78" s="140">
        <f t="shared" si="31"/>
        <v>321.31327469306592</v>
      </c>
      <c r="AC78" s="140">
        <f t="shared" si="31"/>
        <v>330.66591267745508</v>
      </c>
    </row>
    <row r="79" spans="1:29" ht="11.25" customHeight="1">
      <c r="A79" s="50"/>
      <c r="B79" s="60"/>
      <c r="C79" s="60"/>
      <c r="D79" s="60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6.5" thickBot="1">
      <c r="A80" s="62" t="s">
        <v>95</v>
      </c>
      <c r="B80" s="60"/>
      <c r="C80" s="60"/>
      <c r="D80" s="60"/>
      <c r="E80" s="66">
        <v>1</v>
      </c>
      <c r="F80" s="66">
        <v>2</v>
      </c>
      <c r="G80" s="66">
        <v>3</v>
      </c>
      <c r="H80" s="66">
        <v>4</v>
      </c>
      <c r="I80" s="66">
        <v>5</v>
      </c>
      <c r="J80" s="66">
        <v>6</v>
      </c>
      <c r="K80" s="66">
        <v>7</v>
      </c>
      <c r="L80" s="66">
        <v>8</v>
      </c>
      <c r="M80" s="66">
        <v>9</v>
      </c>
      <c r="N80" s="66">
        <v>10</v>
      </c>
      <c r="O80" s="66">
        <v>11</v>
      </c>
      <c r="P80" s="66">
        <v>12</v>
      </c>
      <c r="Q80" s="66">
        <v>13</v>
      </c>
      <c r="R80" s="66">
        <v>14</v>
      </c>
      <c r="S80" s="66">
        <v>15</v>
      </c>
      <c r="T80" s="66">
        <v>16</v>
      </c>
      <c r="U80" s="66">
        <v>17</v>
      </c>
      <c r="V80" s="66">
        <v>18</v>
      </c>
      <c r="W80" s="66">
        <v>19</v>
      </c>
      <c r="X80" s="66">
        <v>20</v>
      </c>
      <c r="Y80" s="66">
        <v>21</v>
      </c>
      <c r="Z80" s="66">
        <v>22</v>
      </c>
      <c r="AA80" s="66">
        <v>23</v>
      </c>
      <c r="AB80" s="66">
        <v>24</v>
      </c>
      <c r="AC80" s="66">
        <v>25</v>
      </c>
    </row>
    <row r="81" spans="1:29" ht="16.5" thickBot="1">
      <c r="A81" s="62" t="s">
        <v>150</v>
      </c>
      <c r="B81" s="60"/>
      <c r="C81" s="60"/>
      <c r="D81" s="60"/>
      <c r="E81" s="67">
        <f>(-(C3*C37))+E65-E78</f>
        <v>-5607.7862499999992</v>
      </c>
      <c r="F81" s="67">
        <f t="shared" ref="F81:X81" si="32">E81+F65-F78</f>
        <v>-4849.2475179999992</v>
      </c>
      <c r="G81" s="67">
        <f t="shared" si="32"/>
        <v>-4084.6340963019998</v>
      </c>
      <c r="H81" s="67">
        <f t="shared" si="32"/>
        <v>-3313.1207497176529</v>
      </c>
      <c r="I81" s="67">
        <f t="shared" si="32"/>
        <v>-2533.8338857638646</v>
      </c>
      <c r="J81" s="67">
        <f t="shared" si="32"/>
        <v>-1745.8485524653936</v>
      </c>
      <c r="K81" s="67">
        <f t="shared" si="32"/>
        <v>-948.18525326809913</v>
      </c>
      <c r="L81" s="67">
        <f t="shared" si="32"/>
        <v>-139.80656792807636</v>
      </c>
      <c r="M81" s="67">
        <f t="shared" si="32"/>
        <v>680.38643243530544</v>
      </c>
      <c r="N81" s="67">
        <f t="shared" si="32"/>
        <v>1513.5579886528446</v>
      </c>
      <c r="O81" s="67">
        <f t="shared" si="32"/>
        <v>2360.941688477908</v>
      </c>
      <c r="P81" s="67">
        <f t="shared" si="32"/>
        <v>3175.5447473186878</v>
      </c>
      <c r="Q81" s="67">
        <f t="shared" si="32"/>
        <v>3931.1525496888107</v>
      </c>
      <c r="R81" s="67">
        <f t="shared" si="32"/>
        <v>4705.1334672445146</v>
      </c>
      <c r="S81" s="67">
        <f t="shared" si="32"/>
        <v>5499.0439702416752</v>
      </c>
      <c r="T81" s="67">
        <f t="shared" si="32"/>
        <v>6314.5340502696799</v>
      </c>
      <c r="U81" s="67">
        <f t="shared" si="32"/>
        <v>7153.3529732051411</v>
      </c>
      <c r="V81" s="67">
        <f t="shared" si="32"/>
        <v>8017.3553824804467</v>
      </c>
      <c r="W81" s="67">
        <f t="shared" si="32"/>
        <v>8908.5077739842127</v>
      </c>
      <c r="X81" s="67">
        <f t="shared" si="32"/>
        <v>9828.8953652070722</v>
      </c>
      <c r="Y81" s="67">
        <f t="shared" ref="Y81" si="33">X81+Y65-Y78</f>
        <v>10643.738985023907</v>
      </c>
      <c r="Z81" s="67">
        <f t="shared" ref="Z81" si="34">Y81+Z65-Z78</f>
        <v>11486.811282255392</v>
      </c>
      <c r="AA81" s="67">
        <f t="shared" ref="AA81" si="35">Z81+AA65-AA78</f>
        <v>12359.10130868198</v>
      </c>
      <c r="AB81" s="67">
        <f t="shared" ref="AB81" si="36">AA81+AB65-AB78</f>
        <v>13261.635967437027</v>
      </c>
      <c r="AC81" s="67">
        <f t="shared" ref="AC81" si="37">AB81+AC65-AC78</f>
        <v>14195.481631618071</v>
      </c>
    </row>
    <row r="82" spans="1:29" ht="15.75" thickBot="1"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ht="15.75" thickBot="1">
      <c r="A83" s="135"/>
      <c r="B83" s="68" t="s">
        <v>146</v>
      </c>
    </row>
    <row r="84" spans="1:29" ht="15.75" thickBot="1">
      <c r="A84" s="142"/>
      <c r="B84" s="68" t="s">
        <v>147</v>
      </c>
    </row>
    <row r="85" spans="1:29" ht="15.75" thickBot="1">
      <c r="A85" s="136"/>
      <c r="B85" s="68" t="s">
        <v>144</v>
      </c>
    </row>
    <row r="86" spans="1:29" ht="15.75" thickBot="1">
      <c r="A86" s="145"/>
      <c r="B86" s="68" t="s">
        <v>145</v>
      </c>
    </row>
    <row r="87" spans="1:29">
      <c r="A87" s="2"/>
      <c r="B87" s="137"/>
    </row>
  </sheetData>
  <sheetProtection formatCells="0" formatColumns="0" formatRows="0" insertColumns="0" insertRows="0" insertHyperlinks="0" deleteColumns="0" deleteRows="0" sort="0" autoFilter="0" pivotTables="0"/>
  <mergeCells count="24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  <mergeCell ref="F29:J29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</mergeCells>
  <conditionalFormatting sqref="E81:X81">
    <cfRule type="cellIs" dxfId="184" priority="166" operator="greaterThan">
      <formula>0</formula>
    </cfRule>
    <cfRule type="cellIs" dxfId="183" priority="167" operator="lessThan">
      <formula>0</formula>
    </cfRule>
    <cfRule type="cellIs" dxfId="182" priority="183" operator="lessThan">
      <formula>0</formula>
    </cfRule>
    <cfRule type="cellIs" dxfId="181" priority="184" operator="greaterThan">
      <formula>0</formula>
    </cfRule>
    <cfRule type="cellIs" dxfId="180" priority="185" operator="greaterThan">
      <formula>0</formula>
    </cfRule>
  </conditionalFormatting>
  <conditionalFormatting sqref="E67:X71">
    <cfRule type="cellIs" dxfId="179" priority="168" operator="equal">
      <formula>0</formula>
    </cfRule>
    <cfRule type="cellIs" dxfId="178" priority="169" operator="equal">
      <formula>0</formula>
    </cfRule>
    <cfRule type="cellIs" dxfId="177" priority="170" operator="equal">
      <formula>0</formula>
    </cfRule>
    <cfRule type="cellIs" dxfId="176" priority="171" operator="equal">
      <formula>0</formula>
    </cfRule>
    <cfRule type="cellIs" dxfId="175" priority="172" operator="greaterThan">
      <formula>0</formula>
    </cfRule>
    <cfRule type="cellIs" dxfId="174" priority="173" operator="equal">
      <formula>0</formula>
    </cfRule>
    <cfRule type="cellIs" dxfId="173" priority="174" operator="greaterThan">
      <formula>0</formula>
    </cfRule>
    <cfRule type="cellIs" dxfId="172" priority="175" operator="greaterThan">
      <formula>0</formula>
    </cfRule>
    <cfRule type="cellIs" dxfId="171" priority="176" operator="equal">
      <formula>0</formula>
    </cfRule>
    <cfRule type="cellIs" dxfId="170" priority="177" operator="lessThan">
      <formula>0</formula>
    </cfRule>
    <cfRule type="cellIs" dxfId="169" priority="180" operator="lessThan">
      <formula>0</formula>
    </cfRule>
    <cfRule type="cellIs" dxfId="168" priority="181" operator="equal">
      <formula>0</formula>
    </cfRule>
    <cfRule type="cellIs" dxfId="167" priority="182" operator="greaterThan">
      <formula>0</formula>
    </cfRule>
  </conditionalFormatting>
  <conditionalFormatting sqref="E67:X67">
    <cfRule type="cellIs" dxfId="166" priority="178" operator="equal">
      <formula>0</formula>
    </cfRule>
    <cfRule type="cellIs" dxfId="165" priority="179" operator="lessThan">
      <formula>0</formula>
    </cfRule>
  </conditionalFormatting>
  <conditionalFormatting sqref="Y81:AC81">
    <cfRule type="cellIs" dxfId="164" priority="161" operator="greaterThan">
      <formula>0</formula>
    </cfRule>
    <cfRule type="cellIs" dxfId="163" priority="162" operator="lessThan">
      <formula>0</formula>
    </cfRule>
    <cfRule type="cellIs" dxfId="162" priority="163" operator="lessThan">
      <formula>0</formula>
    </cfRule>
    <cfRule type="cellIs" dxfId="161" priority="164" operator="greaterThan">
      <formula>0</formula>
    </cfRule>
    <cfRule type="cellIs" dxfId="160" priority="165" operator="greaterThan">
      <formula>0</formula>
    </cfRule>
  </conditionalFormatting>
  <conditionalFormatting sqref="Y67:AC71">
    <cfRule type="cellIs" dxfId="159" priority="145" operator="equal">
      <formula>0</formula>
    </cfRule>
    <cfRule type="cellIs" dxfId="158" priority="148" operator="equal">
      <formula>0</formula>
    </cfRule>
    <cfRule type="cellIs" dxfId="157" priority="149" operator="equal">
      <formula>0</formula>
    </cfRule>
    <cfRule type="cellIs" dxfId="156" priority="150" operator="equal">
      <formula>0</formula>
    </cfRule>
    <cfRule type="cellIs" dxfId="155" priority="151" operator="equal">
      <formula>0</formula>
    </cfRule>
    <cfRule type="cellIs" dxfId="154" priority="152" operator="greaterThan">
      <formula>0</formula>
    </cfRule>
    <cfRule type="cellIs" dxfId="153" priority="153" operator="equal">
      <formula>0</formula>
    </cfRule>
    <cfRule type="cellIs" dxfId="152" priority="154" operator="greaterThan">
      <formula>0</formula>
    </cfRule>
    <cfRule type="cellIs" dxfId="151" priority="155" operator="greaterThan">
      <formula>0</formula>
    </cfRule>
    <cfRule type="cellIs" dxfId="150" priority="156" operator="equal">
      <formula>0</formula>
    </cfRule>
    <cfRule type="cellIs" dxfId="149" priority="157" operator="lessThan">
      <formula>0</formula>
    </cfRule>
    <cfRule type="cellIs" dxfId="148" priority="158" operator="lessThan">
      <formula>0</formula>
    </cfRule>
    <cfRule type="cellIs" dxfId="147" priority="159" operator="equal">
      <formula>0</formula>
    </cfRule>
    <cfRule type="cellIs" dxfId="146" priority="160" operator="greaterThan">
      <formula>0</formula>
    </cfRule>
  </conditionalFormatting>
  <conditionalFormatting sqref="Y67:AC67">
    <cfRule type="cellIs" dxfId="145" priority="146" operator="equal">
      <formula>0</formula>
    </cfRule>
    <cfRule type="cellIs" dxfId="144" priority="147" operator="lessThan">
      <formula>0</formula>
    </cfRule>
  </conditionalFormatting>
  <conditionalFormatting sqref="Y68">
    <cfRule type="cellIs" dxfId="143" priority="132" operator="equal">
      <formula>0</formula>
    </cfRule>
    <cfRule type="cellIs" dxfId="142" priority="133" operator="equal">
      <formula>0</formula>
    </cfRule>
    <cfRule type="cellIs" dxfId="141" priority="134" operator="equal">
      <formula>0</formula>
    </cfRule>
    <cfRule type="cellIs" dxfId="140" priority="135" operator="equal">
      <formula>0</formula>
    </cfRule>
    <cfRule type="cellIs" dxfId="139" priority="136" operator="greaterThan">
      <formula>0</formula>
    </cfRule>
    <cfRule type="cellIs" dxfId="138" priority="137" operator="equal">
      <formula>0</formula>
    </cfRule>
    <cfRule type="cellIs" dxfId="137" priority="138" operator="greaterThan">
      <formula>0</formula>
    </cfRule>
    <cfRule type="cellIs" dxfId="136" priority="139" operator="greaterThan">
      <formula>0</formula>
    </cfRule>
    <cfRule type="cellIs" dxfId="135" priority="140" operator="equal">
      <formula>0</formula>
    </cfRule>
    <cfRule type="cellIs" dxfId="134" priority="141" operator="lessThan">
      <formula>0</formula>
    </cfRule>
    <cfRule type="cellIs" dxfId="133" priority="142" operator="lessThan">
      <formula>0</formula>
    </cfRule>
    <cfRule type="cellIs" dxfId="132" priority="143" operator="equal">
      <formula>0</formula>
    </cfRule>
    <cfRule type="cellIs" dxfId="131" priority="144" operator="greaterThan">
      <formula>0</formula>
    </cfRule>
  </conditionalFormatting>
  <conditionalFormatting sqref="E59:AC64">
    <cfRule type="cellIs" dxfId="130" priority="131" operator="equal">
      <formula>0</formula>
    </cfRule>
  </conditionalFormatting>
  <conditionalFormatting sqref="Y69">
    <cfRule type="cellIs" dxfId="129" priority="118" operator="equal">
      <formula>0</formula>
    </cfRule>
    <cfRule type="cellIs" dxfId="128" priority="119" operator="equal">
      <formula>0</formula>
    </cfRule>
    <cfRule type="cellIs" dxfId="127" priority="120" operator="equal">
      <formula>0</formula>
    </cfRule>
    <cfRule type="cellIs" dxfId="126" priority="121" operator="equal">
      <formula>0</formula>
    </cfRule>
    <cfRule type="cellIs" dxfId="125" priority="122" operator="greaterThan">
      <formula>0</formula>
    </cfRule>
    <cfRule type="cellIs" dxfId="124" priority="123" operator="equal">
      <formula>0</formula>
    </cfRule>
    <cfRule type="cellIs" dxfId="123" priority="124" operator="greaterThan">
      <formula>0</formula>
    </cfRule>
    <cfRule type="cellIs" dxfId="122" priority="125" operator="greaterThan">
      <formula>0</formula>
    </cfRule>
    <cfRule type="cellIs" dxfId="121" priority="126" operator="equal">
      <formula>0</formula>
    </cfRule>
    <cfRule type="cellIs" dxfId="120" priority="127" operator="lessThan">
      <formula>0</formula>
    </cfRule>
    <cfRule type="cellIs" dxfId="119" priority="128" operator="lessThan">
      <formula>0</formula>
    </cfRule>
    <cfRule type="cellIs" dxfId="118" priority="129" operator="equal">
      <formula>0</formula>
    </cfRule>
    <cfRule type="cellIs" dxfId="117" priority="130" operator="greaterThan">
      <formula>0</formula>
    </cfRule>
  </conditionalFormatting>
  <conditionalFormatting sqref="Z69">
    <cfRule type="cellIs" dxfId="116" priority="105" operator="equal">
      <formula>0</formula>
    </cfRule>
    <cfRule type="cellIs" dxfId="115" priority="106" operator="equal">
      <formula>0</formula>
    </cfRule>
    <cfRule type="cellIs" dxfId="114" priority="107" operator="equal">
      <formula>0</formula>
    </cfRule>
    <cfRule type="cellIs" dxfId="113" priority="108" operator="equal">
      <formula>0</formula>
    </cfRule>
    <cfRule type="cellIs" dxfId="112" priority="109" operator="greaterThan">
      <formula>0</formula>
    </cfRule>
    <cfRule type="cellIs" dxfId="111" priority="110" operator="equal">
      <formula>0</formula>
    </cfRule>
    <cfRule type="cellIs" dxfId="110" priority="111" operator="greaterThan">
      <formula>0</formula>
    </cfRule>
    <cfRule type="cellIs" dxfId="109" priority="112" operator="greaterThan">
      <formula>0</formula>
    </cfRule>
    <cfRule type="cellIs" dxfId="108" priority="113" operator="equal">
      <formula>0</formula>
    </cfRule>
    <cfRule type="cellIs" dxfId="107" priority="114" operator="lessThan">
      <formula>0</formula>
    </cfRule>
    <cfRule type="cellIs" dxfId="106" priority="115" operator="lessThan">
      <formula>0</formula>
    </cfRule>
    <cfRule type="cellIs" dxfId="105" priority="116" operator="equal">
      <formula>0</formula>
    </cfRule>
    <cfRule type="cellIs" dxfId="104" priority="117" operator="greaterThan">
      <formula>0</formula>
    </cfRule>
  </conditionalFormatting>
  <conditionalFormatting sqref="AA69">
    <cfRule type="cellIs" dxfId="103" priority="92" operator="equal">
      <formula>0</formula>
    </cfRule>
    <cfRule type="cellIs" dxfId="102" priority="93" operator="equal">
      <formula>0</formula>
    </cfRule>
    <cfRule type="cellIs" dxfId="101" priority="94" operator="equal">
      <formula>0</formula>
    </cfRule>
    <cfRule type="cellIs" dxfId="100" priority="95" operator="equal">
      <formula>0</formula>
    </cfRule>
    <cfRule type="cellIs" dxfId="99" priority="96" operator="greaterThan">
      <formula>0</formula>
    </cfRule>
    <cfRule type="cellIs" dxfId="98" priority="97" operator="equal">
      <formula>0</formula>
    </cfRule>
    <cfRule type="cellIs" dxfId="97" priority="98" operator="greaterThan">
      <formula>0</formula>
    </cfRule>
    <cfRule type="cellIs" dxfId="96" priority="99" operator="greaterThan">
      <formula>0</formula>
    </cfRule>
    <cfRule type="cellIs" dxfId="95" priority="100" operator="equal">
      <formula>0</formula>
    </cfRule>
    <cfRule type="cellIs" dxfId="94" priority="101" operator="lessThan">
      <formula>0</formula>
    </cfRule>
    <cfRule type="cellIs" dxfId="93" priority="102" operator="lessThan">
      <formula>0</formula>
    </cfRule>
    <cfRule type="cellIs" dxfId="92" priority="103" operator="equal">
      <formula>0</formula>
    </cfRule>
    <cfRule type="cellIs" dxfId="91" priority="104" operator="greaterThan">
      <formula>0</formula>
    </cfRule>
  </conditionalFormatting>
  <conditionalFormatting sqref="AB69">
    <cfRule type="cellIs" dxfId="90" priority="79" operator="equal">
      <formula>0</formula>
    </cfRule>
    <cfRule type="cellIs" dxfId="89" priority="80" operator="equal">
      <formula>0</formula>
    </cfRule>
    <cfRule type="cellIs" dxfId="88" priority="81" operator="equal">
      <formula>0</formula>
    </cfRule>
    <cfRule type="cellIs" dxfId="87" priority="82" operator="equal">
      <formula>0</formula>
    </cfRule>
    <cfRule type="cellIs" dxfId="86" priority="83" operator="greaterThan">
      <formula>0</formula>
    </cfRule>
    <cfRule type="cellIs" dxfId="85" priority="84" operator="equal">
      <formula>0</formula>
    </cfRule>
    <cfRule type="cellIs" dxfId="84" priority="85" operator="greaterThan">
      <formula>0</formula>
    </cfRule>
    <cfRule type="cellIs" dxfId="83" priority="86" operator="greaterThan">
      <formula>0</formula>
    </cfRule>
    <cfRule type="cellIs" dxfId="82" priority="87" operator="equal">
      <formula>0</formula>
    </cfRule>
    <cfRule type="cellIs" dxfId="81" priority="88" operator="lessThan">
      <formula>0</formula>
    </cfRule>
    <cfRule type="cellIs" dxfId="80" priority="89" operator="lessThan">
      <formula>0</formula>
    </cfRule>
    <cfRule type="cellIs" dxfId="79" priority="90" operator="equal">
      <formula>0</formula>
    </cfRule>
    <cfRule type="cellIs" dxfId="78" priority="91" operator="greaterThan">
      <formula>0</formula>
    </cfRule>
  </conditionalFormatting>
  <conditionalFormatting sqref="AC69">
    <cfRule type="cellIs" dxfId="77" priority="66" operator="equal">
      <formula>0</formula>
    </cfRule>
    <cfRule type="cellIs" dxfId="76" priority="67" operator="equal">
      <formula>0</formula>
    </cfRule>
    <cfRule type="cellIs" dxfId="75" priority="68" operator="equal">
      <formula>0</formula>
    </cfRule>
    <cfRule type="cellIs" dxfId="74" priority="69" operator="equal">
      <formula>0</formula>
    </cfRule>
    <cfRule type="cellIs" dxfId="73" priority="70" operator="greaterThan">
      <formula>0</formula>
    </cfRule>
    <cfRule type="cellIs" dxfId="72" priority="71" operator="equal">
      <formula>0</formula>
    </cfRule>
    <cfRule type="cellIs" dxfId="71" priority="72" operator="greaterThan">
      <formula>0</formula>
    </cfRule>
    <cfRule type="cellIs" dxfId="70" priority="73" operator="greaterThan">
      <formula>0</formula>
    </cfRule>
    <cfRule type="cellIs" dxfId="69" priority="74" operator="equal">
      <formula>0</formula>
    </cfRule>
    <cfRule type="cellIs" dxfId="68" priority="75" operator="lessThan">
      <formula>0</formula>
    </cfRule>
    <cfRule type="cellIs" dxfId="67" priority="76" operator="lessThan">
      <formula>0</formula>
    </cfRule>
    <cfRule type="cellIs" dxfId="66" priority="77" operator="equal">
      <formula>0</formula>
    </cfRule>
    <cfRule type="cellIs" dxfId="65" priority="78" operator="greaterThan">
      <formula>0</formula>
    </cfRule>
  </conditionalFormatting>
  <conditionalFormatting sqref="Y68">
    <cfRule type="cellIs" dxfId="64" priority="53" operator="equal">
      <formula>0</formula>
    </cfRule>
    <cfRule type="cellIs" dxfId="63" priority="54" operator="equal">
      <formula>0</formula>
    </cfRule>
    <cfRule type="cellIs" dxfId="62" priority="55" operator="equal">
      <formula>0</formula>
    </cfRule>
    <cfRule type="cellIs" dxfId="61" priority="56" operator="equal">
      <formula>0</formula>
    </cfRule>
    <cfRule type="cellIs" dxfId="60" priority="57" operator="greaterThan">
      <formula>0</formula>
    </cfRule>
    <cfRule type="cellIs" dxfId="59" priority="58" operator="equal">
      <formula>0</formula>
    </cfRule>
    <cfRule type="cellIs" dxfId="58" priority="59" operator="greaterThan">
      <formula>0</formula>
    </cfRule>
    <cfRule type="cellIs" dxfId="57" priority="60" operator="greaterThan">
      <formula>0</formula>
    </cfRule>
    <cfRule type="cellIs" dxfId="56" priority="61" operator="equal">
      <formula>0</formula>
    </cfRule>
    <cfRule type="cellIs" dxfId="55" priority="62" operator="lessThan">
      <formula>0</formula>
    </cfRule>
    <cfRule type="cellIs" dxfId="54" priority="63" operator="lessThan">
      <formula>0</formula>
    </cfRule>
    <cfRule type="cellIs" dxfId="53" priority="64" operator="equal">
      <formula>0</formula>
    </cfRule>
    <cfRule type="cellIs" dxfId="52" priority="65" operator="greaterThan">
      <formula>0</formula>
    </cfRule>
  </conditionalFormatting>
  <conditionalFormatting sqref="Z68">
    <cfRule type="cellIs" dxfId="51" priority="40" operator="equal">
      <formula>0</formula>
    </cfRule>
    <cfRule type="cellIs" dxfId="50" priority="41" operator="equal">
      <formula>0</formula>
    </cfRule>
    <cfRule type="cellIs" dxfId="49" priority="42" operator="equal">
      <formula>0</formula>
    </cfRule>
    <cfRule type="cellIs" dxfId="48" priority="43" operator="equal">
      <formula>0</formula>
    </cfRule>
    <cfRule type="cellIs" dxfId="47" priority="44" operator="greaterThan">
      <formula>0</formula>
    </cfRule>
    <cfRule type="cellIs" dxfId="46" priority="45" operator="equal">
      <formula>0</formula>
    </cfRule>
    <cfRule type="cellIs" dxfId="45" priority="46" operator="greaterThan">
      <formula>0</formula>
    </cfRule>
    <cfRule type="cellIs" dxfId="44" priority="47" operator="greaterThan">
      <formula>0</formula>
    </cfRule>
    <cfRule type="cellIs" dxfId="43" priority="48" operator="equal">
      <formula>0</formula>
    </cfRule>
    <cfRule type="cellIs" dxfId="42" priority="49" operator="lessThan">
      <formula>0</formula>
    </cfRule>
    <cfRule type="cellIs" dxfId="41" priority="50" operator="lessThan">
      <formula>0</formula>
    </cfRule>
    <cfRule type="cellIs" dxfId="40" priority="51" operator="equal">
      <formula>0</formula>
    </cfRule>
    <cfRule type="cellIs" dxfId="39" priority="52" operator="greaterThan">
      <formula>0</formula>
    </cfRule>
  </conditionalFormatting>
  <conditionalFormatting sqref="AA68">
    <cfRule type="cellIs" dxfId="38" priority="27" operator="equal">
      <formula>0</formula>
    </cfRule>
    <cfRule type="cellIs" dxfId="37" priority="28" operator="equal">
      <formula>0</formula>
    </cfRule>
    <cfRule type="cellIs" dxfId="36" priority="29" operator="equal">
      <formula>0</formula>
    </cfRule>
    <cfRule type="cellIs" dxfId="35" priority="30" operator="equal">
      <formula>0</formula>
    </cfRule>
    <cfRule type="cellIs" dxfId="34" priority="31" operator="greaterThan">
      <formula>0</formula>
    </cfRule>
    <cfRule type="cellIs" dxfId="33" priority="32" operator="equal">
      <formula>0</formula>
    </cfRule>
    <cfRule type="cellIs" dxfId="32" priority="33" operator="greaterThan">
      <formula>0</formula>
    </cfRule>
    <cfRule type="cellIs" dxfId="31" priority="34" operator="greaterThan">
      <formula>0</formula>
    </cfRule>
    <cfRule type="cellIs" dxfId="30" priority="35" operator="equal">
      <formula>0</formula>
    </cfRule>
    <cfRule type="cellIs" dxfId="29" priority="36" operator="lessThan">
      <formula>0</formula>
    </cfRule>
    <cfRule type="cellIs" dxfId="28" priority="37" operator="lessThan">
      <formula>0</formula>
    </cfRule>
    <cfRule type="cellIs" dxfId="27" priority="38" operator="equal">
      <formula>0</formula>
    </cfRule>
    <cfRule type="cellIs" dxfId="26" priority="39" operator="greaterThan">
      <formula>0</formula>
    </cfRule>
  </conditionalFormatting>
  <conditionalFormatting sqref="AB68">
    <cfRule type="cellIs" dxfId="25" priority="14" operator="equal">
      <formula>0</formula>
    </cfRule>
    <cfRule type="cellIs" dxfId="24" priority="15" operator="equal">
      <formula>0</formula>
    </cfRule>
    <cfRule type="cellIs" dxfId="23" priority="16" operator="equal">
      <formula>0</formula>
    </cfRule>
    <cfRule type="cellIs" dxfId="22" priority="17" operator="equal">
      <formula>0</formula>
    </cfRule>
    <cfRule type="cellIs" dxfId="21" priority="18" operator="greaterThan">
      <formula>0</formula>
    </cfRule>
    <cfRule type="cellIs" dxfId="20" priority="19" operator="equal">
      <formula>0</formula>
    </cfRule>
    <cfRule type="cellIs" dxfId="19" priority="20" operator="greaterThan">
      <formula>0</formula>
    </cfRule>
    <cfRule type="cellIs" dxfId="18" priority="21" operator="greaterThan">
      <formula>0</formula>
    </cfRule>
    <cfRule type="cellIs" dxfId="17" priority="22" operator="equal">
      <formula>0</formula>
    </cfRule>
    <cfRule type="cellIs" dxfId="16" priority="23" operator="lessThan">
      <formula>0</formula>
    </cfRule>
    <cfRule type="cellIs" dxfId="15" priority="24" operator="lessThan">
      <formula>0</formula>
    </cfRule>
    <cfRule type="cellIs" dxfId="14" priority="25" operator="equal">
      <formula>0</formula>
    </cfRule>
    <cfRule type="cellIs" dxfId="13" priority="26" operator="greaterThan">
      <formula>0</formula>
    </cfRule>
  </conditionalFormatting>
  <conditionalFormatting sqref="AC68">
    <cfRule type="cellIs" dxfId="12" priority="1" operator="equal">
      <formula>0</formula>
    </cfRule>
    <cfRule type="cellIs" dxfId="11" priority="2" operator="equal">
      <formula>0</formula>
    </cfRule>
    <cfRule type="cellIs" dxfId="10" priority="3" operator="equal">
      <formula>0</formula>
    </cfRule>
    <cfRule type="cellIs" dxfId="9" priority="4" operator="equal">
      <formula>0</formula>
    </cfRule>
    <cfRule type="cellIs" dxfId="8" priority="5" operator="greaterThan">
      <formula>0</formula>
    </cfRule>
    <cfRule type="cellIs" dxfId="7" priority="6" operator="equal">
      <formula>0</formula>
    </cfRule>
    <cfRule type="cellIs" dxfId="6" priority="7" operator="greaterThan">
      <formula>0</formula>
    </cfRule>
    <cfRule type="cellIs" dxfId="5" priority="8" operator="greaterThan">
      <formula>0</formula>
    </cfRule>
    <cfRule type="cellIs" dxfId="4" priority="9" operator="equal">
      <formula>0</formula>
    </cfRule>
    <cfRule type="cellIs" dxfId="3" priority="10" operator="lessThan">
      <formula>0</formula>
    </cfRule>
    <cfRule type="cellIs" dxfId="2" priority="11" operator="lessThan">
      <formula>0</formula>
    </cfRule>
    <cfRule type="cellIs" dxfId="1" priority="12" operator="equal">
      <formula>0</formula>
    </cfRule>
    <cfRule type="cellIs" dxfId="0" priority="13" operator="greaterThan">
      <formula>0</formula>
    </cfRule>
  </conditionalFormatting>
  <hyperlinks>
    <hyperlink ref="F29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40:C41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57"/>
  <sheetViews>
    <sheetView topLeftCell="A49" zoomScaleNormal="100" workbookViewId="0">
      <selection activeCell="S41" sqref="S41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23">
        <v>1</v>
      </c>
      <c r="E1" s="2" t="s">
        <v>103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6.3'!C3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24"/>
      <c r="E2" s="2" t="s">
        <v>104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26" t="s">
        <v>164</v>
      </c>
      <c r="V2" s="226"/>
      <c r="W2" s="226"/>
      <c r="X2" s="226"/>
      <c r="Y2" s="226"/>
      <c r="Z2" s="226"/>
      <c r="AA2" s="226"/>
    </row>
    <row r="3" spans="4:27">
      <c r="D3" s="224"/>
      <c r="E3" s="2" t="s">
        <v>105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21"/>
      <c r="V3" s="221"/>
      <c r="W3" s="221"/>
      <c r="X3" s="221"/>
      <c r="Y3" s="221"/>
      <c r="Z3" s="221"/>
      <c r="AA3" s="221"/>
    </row>
    <row r="4" spans="4:27">
      <c r="D4" s="224"/>
      <c r="E4" s="2" t="s">
        <v>106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21"/>
      <c r="V4" s="221"/>
      <c r="W4" s="221"/>
      <c r="X4" s="221"/>
      <c r="Y4" s="221"/>
      <c r="Z4" s="221"/>
      <c r="AA4" s="221"/>
    </row>
    <row r="5" spans="4:27">
      <c r="D5" s="224"/>
      <c r="E5" s="2" t="s">
        <v>107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21"/>
      <c r="V5" s="221"/>
      <c r="W5" s="221"/>
      <c r="X5" s="221"/>
      <c r="Y5" s="221"/>
      <c r="Z5" s="221"/>
      <c r="AA5" s="221"/>
    </row>
    <row r="6" spans="4:27" ht="15.75" thickBot="1">
      <c r="E6" s="17" t="s">
        <v>161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21"/>
      <c r="V6" s="221"/>
      <c r="W6" s="221"/>
      <c r="X6" s="221"/>
      <c r="Y6" s="221"/>
      <c r="Z6" s="221"/>
      <c r="AA6" s="221"/>
    </row>
    <row r="7" spans="4:27">
      <c r="D7" s="223">
        <v>1</v>
      </c>
      <c r="E7" s="15" t="s">
        <v>0</v>
      </c>
      <c r="F7" s="16"/>
      <c r="H7" s="23"/>
      <c r="I7" s="15" t="s">
        <v>123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21"/>
      <c r="V7" s="221"/>
      <c r="W7" s="221"/>
      <c r="X7" s="221"/>
      <c r="Y7" s="221"/>
      <c r="Z7" s="221"/>
      <c r="AA7" s="221"/>
    </row>
    <row r="8" spans="4:27" ht="15.75" thickBot="1">
      <c r="D8" s="225"/>
      <c r="E8" s="19" t="s">
        <v>1</v>
      </c>
      <c r="F8" s="20"/>
      <c r="H8" s="22"/>
      <c r="I8" s="2" t="s">
        <v>124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21"/>
      <c r="V8" s="221"/>
      <c r="W8" s="221"/>
      <c r="X8" s="221"/>
      <c r="Y8" s="221"/>
      <c r="Z8" s="221"/>
      <c r="AA8" s="221"/>
    </row>
    <row r="9" spans="4:27" ht="15.75" thickBot="1">
      <c r="H9" s="29">
        <v>1</v>
      </c>
      <c r="I9" s="19" t="s">
        <v>125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21"/>
      <c r="V9" s="221"/>
      <c r="W9" s="221"/>
      <c r="X9" s="221"/>
      <c r="Y9" s="221"/>
      <c r="Z9" s="221"/>
      <c r="AA9" s="221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21"/>
      <c r="V10" s="221"/>
      <c r="W10" s="221"/>
      <c r="X10" s="221"/>
      <c r="Y10" s="221"/>
      <c r="Z10" s="221"/>
      <c r="AA10" s="221"/>
    </row>
    <row r="11" spans="4:27">
      <c r="D11" s="23"/>
      <c r="E11" s="15"/>
      <c r="F11" s="219" t="s">
        <v>4</v>
      </c>
      <c r="G11" s="220"/>
      <c r="H11" s="86"/>
      <c r="I11" s="86"/>
      <c r="J11" s="83"/>
      <c r="K11" s="15"/>
      <c r="L11" s="219" t="s">
        <v>5</v>
      </c>
      <c r="M11" s="220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21"/>
      <c r="V11" s="221"/>
      <c r="W11" s="221"/>
      <c r="X11" s="221"/>
      <c r="Y11" s="221"/>
      <c r="Z11" s="221"/>
      <c r="AA11" s="221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21"/>
      <c r="V12" s="221"/>
      <c r="W12" s="221"/>
      <c r="X12" s="221"/>
      <c r="Y12" s="221"/>
      <c r="Z12" s="221"/>
      <c r="AA12" s="221"/>
    </row>
    <row r="13" spans="4:27">
      <c r="D13" s="22" t="b">
        <f>AND($D$1=1,$D$7=1,'Simulazione 6.3'!$C$3&lt;=3,'Simulazione 6.3'!$C$3&gt;=1)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208</v>
      </c>
      <c r="I13" s="86">
        <f t="shared" ref="I13:I18" si="4">IF(D13=TRUE,G13,0)</f>
        <v>126</v>
      </c>
      <c r="J13" s="22" t="b">
        <f>AND($D$1=1,$D$7=2,'Simulazione 6.3'!$C$3&lt;=3,'Simulazione 6.3'!$C$3&gt;=1)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21"/>
      <c r="V13" s="221"/>
      <c r="W13" s="221"/>
      <c r="X13" s="221"/>
      <c r="Y13" s="221"/>
      <c r="Z13" s="221"/>
      <c r="AA13" s="221"/>
    </row>
    <row r="14" spans="4:27">
      <c r="D14" s="22" t="b">
        <f>AND($D$1=1,$D$7=1,'Simulazione 6.3'!$C$3&lt;=20,'Simulazione 6.3'!$C$3&gt;3)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6.3'!$C$3&lt;=20,'Simulazione 6.3'!$C$3&gt;3)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21"/>
      <c r="V14" s="221"/>
      <c r="W14" s="221"/>
      <c r="X14" s="221"/>
      <c r="Y14" s="221"/>
      <c r="Z14" s="221"/>
      <c r="AA14" s="221"/>
    </row>
    <row r="15" spans="4:27" ht="22.5" customHeight="1">
      <c r="D15" s="22" t="b">
        <f>AND($D$1=1,$D$7=1,'Simulazione 6.3'!$C$3&lt;=200,'Simulazione 6.3'!$C$3&gt;20)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6.3'!$C$3&lt;=200,'Simulazione 6.3'!$C$3&gt;20)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21"/>
      <c r="V15" s="221"/>
      <c r="W15" s="221"/>
      <c r="X15" s="221"/>
      <c r="Y15" s="221"/>
      <c r="Z15" s="221"/>
      <c r="AA15" s="221"/>
    </row>
    <row r="16" spans="4:27" ht="13.5" customHeight="1">
      <c r="D16" s="22" t="b">
        <f>AND($D$1=1,$D$7=1,'Simulazione 6.3'!$C$3&lt;=1000,'Simulazione 6.3'!$C$3&gt;200)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6.3'!$C$3&lt;=1000,'Simulazione 6.3'!$C$3&gt;200)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6.3'!$C$3&lt;=5000,'Simulazione 6.3'!$C$3&gt;1000)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6.3'!$C$3&lt;=5000,'Simulazione 6.3'!$C$3&gt;1000)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6.3'!$C$3&gt;=5000)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6.3'!$C$3&gt;=5000)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208</v>
      </c>
      <c r="I19" s="42">
        <f>IF($H$9=1,I13+I14+I15+I16+I17+I18,0)</f>
        <v>126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21"/>
      <c r="G21" s="221"/>
      <c r="H21" s="86"/>
      <c r="I21" s="86"/>
      <c r="K21" s="86"/>
      <c r="L21" s="221"/>
      <c r="M21" s="221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6.3'!$C$3&lt;=3,'Simulazione 6.3'!$C$3&gt;=1)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6.3'!$C$3&lt;=3,'Simulazione 6.3'!$C$3&gt;=1)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6.3'!$C$3&lt;=20,'Simulazione 6.3'!$C$3&gt;3)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6.3'!$C$3&lt;=20,'Simulazione 6.3'!$C$3&gt;3)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6.3'!$C$3&lt;=200,'Simulazione 6.3'!$C$3&gt;20)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6.3'!$C$3&lt;=200,'Simulazione 6.3'!$C$3&gt;20)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6.3'!$C$3&lt;=1000,'Simulazione 6.3'!$C$3&gt;200)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6.3'!$C$3&lt;=1000,'Simulazione 6.3'!$C$3&gt;200)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6.3'!$C$3&lt;=5000,'Simulazione 6.3'!$C$3&gt;1000)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6.3'!$C$3&lt;=5000,'Simulazione 6.3'!$C$3&gt;1000)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6.3'!$C$3&gt;=5000)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6.3'!$C$3&gt;=5000)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75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66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67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6.3'!$C$3&lt;=3,'Simulazione 6.3'!$C$3&gt;=1)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6.3'!$C$3&lt;=3,'Simulazione 6.3'!$C$3&gt;=1)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68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6.3'!$C$3&lt;=20,'Simulazione 6.3'!$C$3&gt;3)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6.3'!$C$3&lt;=20,'Simulazione 6.3'!$C$3&gt;3)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69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6.3'!$C$3&lt;=200,'Simulazione 6.3'!$C$3&gt;20)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6.3'!$C$3&lt;=200,'Simulazione 6.3'!$C$3&gt;20)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70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6.3'!$C$3&lt;=1000,'Simulazione 6.3'!$C$3&gt;200)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6.3'!$C$3&lt;=1000,'Simulazione 6.3'!$C$3&gt;200)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71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6.3'!$C$3&lt;=5000,'Simulazione 6.3'!$C$3&gt;1000)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6.3'!$C$3&lt;=5000,'Simulazione 6.3'!$C$3&gt;1000)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72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6.3'!$C$3&gt;=5000)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6.3'!$C$3&gt;=5000)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73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74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6.3'!$C$3&lt;=3,'Simulazione 6.3'!$C$3&gt;=1)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6.3'!$C$3&lt;=3,'Simulazione 6.3'!$C$3&gt;=1)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6.3'!$C$3&lt;=20,'Simulazione 6.3'!$C$3&gt;3)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6.3'!$C$3&lt;=20,'Simulazione 6.3'!$C$3&gt;3)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6.3'!$C$3&lt;=200,'Simulazione 6.3'!$C$3&gt;20)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6.3'!$C$3&lt;=200,'Simulazione 6.3'!$C$3&gt;20)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77</v>
      </c>
      <c r="S47" s="50"/>
    </row>
    <row r="48" spans="4:21" ht="15.75">
      <c r="D48" s="22" t="b">
        <f>AND($D$1=4,$D$7=1,'Simulazione 6.3'!$C$3&lt;=1000,'Simulazione 6.3'!$C$3&gt;200)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6.3'!$C$3&lt;=1000,'Simulazione 6.3'!$C$3&gt;200)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6.3'!$C$3&lt;=5000,'Simulazione 6.3'!$C$3&gt;1000)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6.3'!$C$3&lt;=5000,'Simulazione 6.3'!$C$3&gt;1000)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6.3'!$C$3&gt;=5000)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6.3'!$C$3&gt;=5000)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5" t="b">
        <f>AND(Q49=1,'Simulazione 6.3'!C31&lt;'Simulazione 6.3'!C30)</f>
        <v>1</v>
      </c>
      <c r="S52" s="6">
        <f>IF(Q52=TRUE,'Simulazione 6.3'!$C$31/100*Calcoli!$S$41,0)</f>
        <v>1500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5" t="b">
        <f>AND(Q49=1,'Simulazione 6.3'!C31&gt;='Simulazione 6.3'!C30)</f>
        <v>0</v>
      </c>
      <c r="S53" s="6">
        <f>IF(Q53=TRUE,'Simulazione 6.3'!$C$30/100*Calcoli!$S$41,0)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1500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6.3'!$C$3&lt;=3,'Simulazione 6.3'!$C$3&gt;=1)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6.3'!$C$3&lt;=3,'Simulazione 6.3'!$C$3&gt;=1)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6.3'!$C$3&lt;=20,'Simulazione 6.3'!$C$3&gt;3)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6.3'!$C$3&lt;=20,'Simulazione 6.3'!$C$3&gt;3)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6.3'!$C$3&lt;=200,'Simulazione 6.3'!$C$3&gt;20)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6.3'!$C$3&lt;=200,'Simulazione 6.3'!$C$3&gt;20)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6.3'!$C$3&lt;=1000,'Simulazione 6.3'!$C$3&gt;200)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6.3'!$C$3&lt;=1000,'Simulazione 6.3'!$C$3&gt;200)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6.3'!$C$3&lt;=5000,'Simulazione 6.3'!$C$3&gt;1000)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6.3'!$C$3&lt;=5000,'Simulazione 6.3'!$C$3&gt;1000)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6.3'!$C$3&gt;=5000)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6.3'!$C$3&gt;=5000)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4">
        <f>IF($D$76&gt;1,'Simulazione 6.3'!E59+'Simulazione 6.3'!E60+'Simulazione 6.3'!E61+'Simulazione 6.3'!E63+'Simulazione 6.3'!E64-'Simulazione 6.3'!E67-'Simulazione 6.3'!E72-'Simulazione 6.3'!E73-'Simulazione 6.3'!E74,0)</f>
        <v>602.875</v>
      </c>
      <c r="E67" s="104">
        <f>IF($D$76&gt;1,'Simulazione 6.3'!F59+'Simulazione 6.3'!F60+'Simulazione 6.3'!F61+'Simulazione 6.3'!F63+'Simulazione 6.3'!F64-'Simulazione 6.3'!F67-'Simulazione 6.3'!F72-'Simulazione 6.3'!F73-'Simulazione 6.3'!F74,0)</f>
        <v>348.75159999999994</v>
      </c>
      <c r="F67" s="104">
        <f>IF($D$76&gt;1,'Simulazione 6.3'!G59+'Simulazione 6.3'!G60+'Simulazione 6.3'!G61+'Simulazione 6.3'!G63+'Simulazione 6.3'!G64-'Simulazione 6.3'!G67-'Simulazione 6.3'!G72-'Simulazione 6.3'!G73-'Simulazione 6.3'!G74,0)</f>
        <v>356.64080739999974</v>
      </c>
      <c r="G67" s="104">
        <f>IF($D$76&gt;1,'Simulazione 6.3'!H59+'Simulazione 6.3'!H60+'Simulazione 6.3'!H61+'Simulazione 6.3'!H63+'Simulazione 6.3'!H64-'Simulazione 6.3'!H67-'Simulazione 6.3'!H72-'Simulazione 6.3'!H73-'Simulazione 6.3'!H74,0)</f>
        <v>365.60174881083969</v>
      </c>
      <c r="H67" s="104">
        <f>IF($D$76&gt;1,'Simulazione 6.3'!I59+'Simulazione 6.3'!I60+'Simulazione 6.3'!I61+'Simulazione 6.3'!I63+'Simulazione 6.3'!I64-'Simulazione 6.3'!I67-'Simulazione 6.3'!I72-'Simulazione 6.3'!I73-'Simulazione 6.3'!I74,0)</f>
        <v>375.69722591401035</v>
      </c>
      <c r="I67" s="104">
        <f>IF($D$76&gt;1,'Simulazione 6.3'!J59+'Simulazione 6.3'!J60+'Simulazione 6.3'!J61+'Simulazione 6.3'!J63+'Simulazione 6.3'!J64-'Simulazione 6.3'!J67-'Simulazione 6.3'!J72-'Simulazione 6.3'!J73-'Simulazione 6.3'!J74,0)</f>
        <v>386.9939393486635</v>
      </c>
      <c r="J67" s="104">
        <f>IF($D$76&gt;1,'Simulazione 6.3'!K59+'Simulazione 6.3'!K60+'Simulazione 6.3'!K61+'Simulazione 6.3'!K63+'Simulazione 6.3'!K64-'Simulazione 6.3'!K67-'Simulazione 6.3'!K72-'Simulazione 6.3'!K73-'Simulazione 6.3'!K74,0)</f>
        <v>399.56272623025245</v>
      </c>
      <c r="K67" s="104">
        <f>IF($D$76&gt;1,'Simulazione 6.3'!L59+'Simulazione 6.3'!L60+'Simulazione 6.3'!L61+'Simulazione 6.3'!L63+'Simulazione 6.3'!L64-'Simulazione 6.3'!L67-'Simulazione 6.3'!L72-'Simulazione 6.3'!L73-'Simulazione 6.3'!L74,0)</f>
        <v>413.47881212989967</v>
      </c>
      <c r="L67" s="104">
        <f>IF($D$76&gt;1,'Simulazione 6.3'!M59+'Simulazione 6.3'!M60+'Simulazione 6.3'!M61+'Simulazione 6.3'!M63+'Simulazione 6.3'!M64-'Simulazione 6.3'!M67-'Simulazione 6.3'!M72-'Simulazione 6.3'!M73-'Simulazione 6.3'!M74,0)</f>
        <v>428.82207839400223</v>
      </c>
      <c r="M67" s="104">
        <f>IF($D$76&gt;1,'Simulazione 6.3'!N59+'Simulazione 6.3'!N60+'Simulazione 6.3'!N61+'Simulazione 6.3'!N63+'Simulazione 6.3'!N64-'Simulazione 6.3'!N67-'Simulazione 6.3'!N72-'Simulazione 6.3'!N73-'Simulazione 6.3'!N74,0)</f>
        <v>445.677345737064</v>
      </c>
      <c r="N67" s="104">
        <f>IF($D$76&gt;1,'Simulazione 6.3'!O59+'Simulazione 6.3'!O60+'Simulazione 6.3'!O61+'Simulazione 6.3'!O63+'Simulazione 6.3'!O64-'Simulazione 6.3'!O67-'Simulazione 6.3'!O72-'Simulazione 6.3'!O73-'Simulazione 6.3'!O74,0)</f>
        <v>464.13467509748477</v>
      </c>
      <c r="O67" s="104">
        <f>IF($D$76&gt;1,'Simulazione 6.3'!P59+'Simulazione 6.3'!P60+'Simulazione 6.3'!P61+'Simulazione 6.3'!P63+'Simulazione 6.3'!P64-'Simulazione 6.3'!P67-'Simulazione 6.3'!P72-'Simulazione 6.3'!P73-'Simulazione 6.3'!P74,0)</f>
        <v>694.28968680620744</v>
      </c>
      <c r="P67" s="104">
        <f>IF($D$76&gt;1,'Simulazione 6.3'!Q59+'Simulazione 6.3'!Q60+'Simulazione 6.3'!Q61+'Simulazione 6.3'!Q63+'Simulazione 6.3'!Q64-'Simulazione 6.3'!Q67-'Simulazione 6.3'!Q72-'Simulazione 6.3'!Q73-'Simulazione 6.3'!Q74,0)</f>
        <v>1046.2438991819772</v>
      </c>
      <c r="Q67" s="104">
        <f>IF($D$76&gt;1,'Simulazione 6.3'!R59+'Simulazione 6.3'!R60+'Simulazione 6.3'!R61+'Simulazione 6.3'!R63+'Simulazione 6.3'!R64-'Simulazione 6.3'!R67-'Simulazione 6.3'!R72-'Simulazione 6.3'!R73-'Simulazione 6.3'!R74,0)</f>
        <v>1070.1050877346802</v>
      </c>
      <c r="R67" s="104">
        <f>IF($D$76&gt;1,'Simulazione 6.3'!S59+'Simulazione 6.3'!S60+'Simulazione 6.3'!S61+'Simulazione 6.3'!S63+'Simulazione 6.3'!S64-'Simulazione 6.3'!S67-'Simulazione 6.3'!S72-'Simulazione 6.3'!S73-'Simulazione 6.3'!S74,0)</f>
        <v>1095.9876662300785</v>
      </c>
      <c r="S67" s="104">
        <f>IF($D$76&gt;1,'Simulazione 6.3'!T59+'Simulazione 6.3'!T60+'Simulazione 6.3'!T61+'Simulazione 6.3'!T63+'Simulazione 6.3'!T64-'Simulazione 6.3'!T67-'Simulazione 6.3'!T72-'Simulazione 6.3'!T73-'Simulazione 6.3'!T74,0)</f>
        <v>1124.013090945461</v>
      </c>
      <c r="T67" s="104">
        <f>IF($D$76&gt;1,'Simulazione 6.3'!U59+'Simulazione 6.3'!U60+'Simulazione 6.3'!U61+'Simulazione 6.3'!U63+'Simulazione 6.3'!U64-'Simulazione 6.3'!U67-'Simulazione 6.3'!U72-'Simulazione 6.3'!U73-'Simulazione 6.3'!U74,0)</f>
        <v>1154.3102895265733</v>
      </c>
      <c r="U67" s="104">
        <f>IF($D$76&gt;1,'Simulazione 6.3'!V59+'Simulazione 6.3'!V60+'Simulazione 6.3'!V61+'Simulazione 6.3'!V63+'Simulazione 6.3'!V64-'Simulazione 6.3'!V67-'Simulazione 6.3'!V72-'Simulazione 6.3'!V73-'Simulazione 6.3'!V74,0)</f>
        <v>1187.0161159419551</v>
      </c>
      <c r="V67" s="104">
        <f>IF($D$76&gt;1,'Simulazione 6.3'!W59+'Simulazione 6.3'!W60+'Simulazione 6.3'!W61+'Simulazione 6.3'!W63+'Simulazione 6.3'!W64-'Simulazione 6.3'!W67-'Simulazione 6.3'!W72-'Simulazione 6.3'!W73-'Simulazione 6.3'!W74,0)</f>
        <v>1222.2758331217728</v>
      </c>
      <c r="W67" s="104">
        <f>IF($D$76&gt;1,'Simulazione 6.3'!X59+'Simulazione 6.3'!X60+'Simulazione 6.3'!X61+'Simulazione 6.3'!X63+'Simulazione 6.3'!X64-'Simulazione 6.3'!X67-'Simulazione 6.3'!X72-'Simulazione 6.3'!X73-'Simulazione 6.3'!X74,0)</f>
        <v>1260.2436249647528</v>
      </c>
      <c r="X67" s="104">
        <f>IF($D$76&gt;1,'Simulazione 6.3'!Y59+'Simulazione 6.3'!Y60+'Simulazione 6.3'!Y61+'Simulazione 6.3'!Y63+'Simulazione 6.3'!Y64-'Simulazione 6.3'!Y67-'Simulazione 6.3'!Y72-'Simulazione 6.3'!Y73-'Simulazione 6.3'!Y74,0)</f>
        <v>1058.2384672945905</v>
      </c>
      <c r="Y67" s="104">
        <f>IF($D$76&gt;1,'Simulazione 6.3'!Z59+'Simulazione 6.3'!Z60+'Simulazione 6.3'!Z61+'Simulazione 6.3'!Z63+'Simulazione 6.3'!Z64-'Simulazione 6.3'!Z67-'Simulazione 6.3'!Z72-'Simulazione 6.3'!Z73-'Simulazione 6.3'!Z74,0)</f>
        <v>1094.8990873136177</v>
      </c>
      <c r="Z67" s="104">
        <f>IF($D$76&gt;1,'Simulazione 6.3'!AA59+'Simulazione 6.3'!AA60+'Simulazione 6.3'!AA61+'Simulazione 6.3'!AA63+'Simulazione 6.3'!AA64-'Simulazione 6.3'!AA67-'Simulazione 6.3'!AA72-'Simulazione 6.3'!AA73-'Simulazione 6.3'!AA74,0)</f>
        <v>1132.8441901644001</v>
      </c>
      <c r="AA67" s="104">
        <f>IF($D$76&gt;1,'Simulazione 6.3'!AB59+'Simulazione 6.3'!AB60+'Simulazione 6.3'!AB61+'Simulazione 6.3'!AB63+'Simulazione 6.3'!AB64-'Simulazione 6.3'!AB67-'Simulazione 6.3'!AB72-'Simulazione 6.3'!AB73-'Simulazione 6.3'!AB74,0)</f>
        <v>1172.1229334481127</v>
      </c>
      <c r="AB67" s="104">
        <f>IF($D$76&gt;1,'Simulazione 6.3'!AC59+'Simulazione 6.3'!AC60+'Simulazione 6.3'!AC61+'Simulazione 6.3'!AC63+'Simulazione 6.3'!AC64-'Simulazione 6.3'!AC67-'Simulazione 6.3'!AC72-'Simulazione 6.3'!AC73-'Simulazione 6.3'!AC74,0)</f>
        <v>1212.7865768585002</v>
      </c>
    </row>
    <row r="68" spans="3:28">
      <c r="D68" s="6">
        <f t="shared" ref="D68:I68" si="35">IF(D67&gt;0,D67,0)</f>
        <v>602.875</v>
      </c>
      <c r="E68" s="105">
        <f t="shared" si="35"/>
        <v>348.75159999999994</v>
      </c>
      <c r="F68" s="105">
        <f t="shared" si="35"/>
        <v>356.64080739999974</v>
      </c>
      <c r="G68" s="105">
        <f t="shared" si="35"/>
        <v>365.60174881083969</v>
      </c>
      <c r="H68" s="105">
        <f t="shared" si="35"/>
        <v>375.69722591401035</v>
      </c>
      <c r="I68" s="105">
        <f t="shared" si="35"/>
        <v>386.9939393486635</v>
      </c>
      <c r="J68" s="105">
        <f t="shared" ref="J68:AB68" si="36">IF(J67&gt;0,J67,0)</f>
        <v>399.56272623025245</v>
      </c>
      <c r="K68" s="105">
        <f t="shared" si="36"/>
        <v>413.47881212989967</v>
      </c>
      <c r="L68" s="105">
        <f t="shared" si="36"/>
        <v>428.82207839400223</v>
      </c>
      <c r="M68" s="105">
        <f t="shared" si="36"/>
        <v>445.677345737064</v>
      </c>
      <c r="N68" s="105">
        <f t="shared" si="36"/>
        <v>464.13467509748477</v>
      </c>
      <c r="O68" s="105">
        <f t="shared" si="36"/>
        <v>694.28968680620744</v>
      </c>
      <c r="P68" s="105">
        <f t="shared" si="36"/>
        <v>1046.2438991819772</v>
      </c>
      <c r="Q68" s="105">
        <f t="shared" si="36"/>
        <v>1070.1050877346802</v>
      </c>
      <c r="R68" s="105">
        <f t="shared" si="36"/>
        <v>1095.9876662300785</v>
      </c>
      <c r="S68" s="105">
        <f t="shared" si="36"/>
        <v>1124.013090945461</v>
      </c>
      <c r="T68" s="105">
        <f t="shared" si="36"/>
        <v>1154.3102895265733</v>
      </c>
      <c r="U68" s="105">
        <f t="shared" si="36"/>
        <v>1187.0161159419551</v>
      </c>
      <c r="V68" s="105">
        <f t="shared" si="36"/>
        <v>1222.2758331217728</v>
      </c>
      <c r="W68" s="105">
        <f t="shared" si="36"/>
        <v>1260.2436249647528</v>
      </c>
      <c r="X68" s="105">
        <f t="shared" si="36"/>
        <v>1058.2384672945905</v>
      </c>
      <c r="Y68" s="105">
        <f t="shared" si="36"/>
        <v>1094.8990873136177</v>
      </c>
      <c r="Z68" s="105">
        <f t="shared" si="36"/>
        <v>1132.8441901644001</v>
      </c>
      <c r="AA68" s="105">
        <f t="shared" si="36"/>
        <v>1172.1229334481127</v>
      </c>
      <c r="AB68" s="105">
        <f t="shared" si="36"/>
        <v>1212.7865768585002</v>
      </c>
    </row>
    <row r="70" spans="3:28">
      <c r="C70" s="6">
        <v>1</v>
      </c>
      <c r="D70" s="6" t="s">
        <v>94</v>
      </c>
    </row>
    <row r="71" spans="3:28">
      <c r="C71" s="6">
        <v>2</v>
      </c>
      <c r="D71" s="6" t="s">
        <v>118</v>
      </c>
      <c r="I71" s="68" t="s">
        <v>91</v>
      </c>
      <c r="L71" s="68" t="s">
        <v>134</v>
      </c>
      <c r="N71" s="6" t="s">
        <v>138</v>
      </c>
    </row>
    <row r="72" spans="3:28">
      <c r="C72" s="6">
        <v>3</v>
      </c>
      <c r="D72" s="6" t="s">
        <v>117</v>
      </c>
      <c r="I72" s="6" t="b">
        <f>OR(D76=2,D76=3,D76=4)</f>
        <v>1</v>
      </c>
      <c r="L72" s="6" t="b">
        <f>OR(D76=C70,D76=6)</f>
        <v>0</v>
      </c>
      <c r="M72" s="6">
        <v>1</v>
      </c>
      <c r="N72" s="6" t="b">
        <f>AND('Simulazione 6.3'!$C$3&lt;=50)</f>
        <v>1</v>
      </c>
      <c r="O72" s="6">
        <v>242</v>
      </c>
      <c r="P72" s="6">
        <f>IF(N72=TRUE,O72,0)</f>
        <v>242</v>
      </c>
    </row>
    <row r="73" spans="3:28">
      <c r="C73" s="6">
        <v>4</v>
      </c>
      <c r="D73" s="6" t="s">
        <v>116</v>
      </c>
      <c r="I73" s="68" t="s">
        <v>131</v>
      </c>
      <c r="M73" s="6">
        <v>2</v>
      </c>
      <c r="N73" s="6" t="b">
        <f>AND('Simulazione 6.3'!$C$3&lt;=100,'Simulazione 6.3'!$C$3&gt;50)</f>
        <v>0</v>
      </c>
      <c r="O73" s="6">
        <v>363</v>
      </c>
      <c r="P73" s="6">
        <f>IF(N73=TRUE,O73,0)</f>
        <v>0</v>
      </c>
      <c r="Q73" s="176"/>
    </row>
    <row r="74" spans="3:28">
      <c r="C74" s="6">
        <v>5</v>
      </c>
      <c r="D74" s="6" t="s">
        <v>172</v>
      </c>
      <c r="I74" s="6" t="b">
        <f>OR(D76=3,D76=4,D76=5)</f>
        <v>0</v>
      </c>
      <c r="M74" s="6">
        <v>3</v>
      </c>
      <c r="N74" s="6" t="b">
        <f>AND('Simulazione 6.3'!$C$3&lt;=500,'Simulazione 6.3'!$C$3&gt;100)</f>
        <v>0</v>
      </c>
      <c r="O74" s="6">
        <v>726</v>
      </c>
      <c r="P74" s="6">
        <f>IF(N74=TRUE,O74,0)</f>
        <v>0</v>
      </c>
      <c r="Q74" s="176"/>
    </row>
    <row r="75" spans="3:28">
      <c r="C75" s="6">
        <v>6</v>
      </c>
      <c r="D75" s="6" t="s">
        <v>130</v>
      </c>
      <c r="I75" s="68" t="s">
        <v>132</v>
      </c>
      <c r="M75" s="6">
        <v>4</v>
      </c>
      <c r="N75" s="6" t="b">
        <f>AND('Simulazione 6.3'!$C$3&lt;=1000,'Simulazione 6.3'!$C$3&gt;500)</f>
        <v>0</v>
      </c>
      <c r="O75" s="6">
        <v>1936</v>
      </c>
      <c r="P75" s="6">
        <f>IF(N75=TRUE,O75,0)</f>
        <v>0</v>
      </c>
      <c r="Q75" s="176"/>
    </row>
    <row r="76" spans="3:28">
      <c r="D76" s="95">
        <v>2</v>
      </c>
      <c r="I76" s="6" t="b">
        <f>OR(D76=2,D76=3)</f>
        <v>1</v>
      </c>
      <c r="M76" s="6">
        <v>5</v>
      </c>
      <c r="N76" s="6" t="b">
        <f>AND('Simulazione 6.3'!$C$3&gt;1000)</f>
        <v>0</v>
      </c>
      <c r="O76" s="6">
        <v>3146</v>
      </c>
      <c r="P76" s="6">
        <f>IF(N76=TRUE,O76,0)</f>
        <v>0</v>
      </c>
      <c r="Q76" s="176"/>
    </row>
    <row r="77" spans="3:28">
      <c r="I77" s="68" t="s">
        <v>133</v>
      </c>
      <c r="O77" s="6">
        <f>'Simulazione 6.3'!C3-'Simulazione 6.3'!C4</f>
        <v>0</v>
      </c>
      <c r="P77" s="68">
        <f>SUM(P72:P76)</f>
        <v>242</v>
      </c>
    </row>
    <row r="78" spans="3:28">
      <c r="D78" s="6" t="s">
        <v>88</v>
      </c>
      <c r="F78" s="6">
        <f>'Simulazione 6.3'!C3*'Simulazione 6.3'!C37</f>
        <v>6000</v>
      </c>
      <c r="I78" s="6" t="b">
        <f>OR(D76=4,D76=5)</f>
        <v>0</v>
      </c>
    </row>
    <row r="79" spans="3:28">
      <c r="D79" s="6" t="s">
        <v>87</v>
      </c>
      <c r="F79" s="6">
        <f>IF(D76&gt;1,('Simulazione 6.3'!C37*'Simulazione 6.3'!C3)/100*'Simulazione 6.3'!$K$9,0)</f>
        <v>540</v>
      </c>
    </row>
    <row r="81" spans="3:28">
      <c r="D81" s="104">
        <f>$F$78</f>
        <v>6000</v>
      </c>
      <c r="E81" s="104">
        <f>$F$78</f>
        <v>6000</v>
      </c>
      <c r="F81" s="104">
        <f>$F$78</f>
        <v>6000</v>
      </c>
      <c r="G81" s="104">
        <f t="shared" ref="G81:AB81" si="37">$F$78</f>
        <v>6000</v>
      </c>
      <c r="H81" s="104">
        <f t="shared" si="37"/>
        <v>6000</v>
      </c>
      <c r="I81" s="104">
        <f t="shared" si="37"/>
        <v>6000</v>
      </c>
      <c r="J81" s="104">
        <f t="shared" si="37"/>
        <v>6000</v>
      </c>
      <c r="K81" s="104">
        <f t="shared" si="37"/>
        <v>6000</v>
      </c>
      <c r="L81" s="104">
        <f t="shared" si="37"/>
        <v>6000</v>
      </c>
      <c r="M81" s="104">
        <f t="shared" si="37"/>
        <v>6000</v>
      </c>
      <c r="N81" s="104">
        <f t="shared" si="37"/>
        <v>6000</v>
      </c>
      <c r="O81" s="104">
        <f t="shared" si="37"/>
        <v>6000</v>
      </c>
      <c r="P81" s="104">
        <f t="shared" si="37"/>
        <v>6000</v>
      </c>
      <c r="Q81" s="104">
        <f t="shared" si="37"/>
        <v>6000</v>
      </c>
      <c r="R81" s="104">
        <f t="shared" si="37"/>
        <v>6000</v>
      </c>
      <c r="S81" s="104">
        <f t="shared" si="37"/>
        <v>6000</v>
      </c>
      <c r="T81" s="104">
        <f t="shared" si="37"/>
        <v>6000</v>
      </c>
      <c r="U81" s="104">
        <f t="shared" si="37"/>
        <v>6000</v>
      </c>
      <c r="V81" s="104">
        <f t="shared" si="37"/>
        <v>6000</v>
      </c>
      <c r="W81" s="104">
        <f t="shared" si="37"/>
        <v>6000</v>
      </c>
      <c r="X81" s="104">
        <f t="shared" si="37"/>
        <v>6000</v>
      </c>
      <c r="Y81" s="104">
        <f t="shared" si="37"/>
        <v>6000</v>
      </c>
      <c r="Z81" s="104">
        <f t="shared" si="37"/>
        <v>6000</v>
      </c>
      <c r="AA81" s="104">
        <f t="shared" si="37"/>
        <v>6000</v>
      </c>
      <c r="AB81" s="104">
        <f t="shared" si="37"/>
        <v>6000</v>
      </c>
    </row>
    <row r="82" spans="3:28">
      <c r="C82" s="104"/>
      <c r="D82" s="104">
        <f>$F$78/100*'Simulazione 6.3'!$K$9/2</f>
        <v>270</v>
      </c>
      <c r="E82" s="104">
        <f>D82+$F$79</f>
        <v>810</v>
      </c>
      <c r="F82" s="104">
        <f t="shared" ref="F82:W82" si="38">E82+$F$79</f>
        <v>1350</v>
      </c>
      <c r="G82" s="104">
        <f t="shared" si="38"/>
        <v>1890</v>
      </c>
      <c r="H82" s="104">
        <f t="shared" si="38"/>
        <v>2430</v>
      </c>
      <c r="I82" s="104">
        <f t="shared" si="38"/>
        <v>2970</v>
      </c>
      <c r="J82" s="104">
        <f t="shared" si="38"/>
        <v>3510</v>
      </c>
      <c r="K82" s="104">
        <f t="shared" si="38"/>
        <v>4050</v>
      </c>
      <c r="L82" s="104">
        <f t="shared" si="38"/>
        <v>4590</v>
      </c>
      <c r="M82" s="104">
        <f t="shared" si="38"/>
        <v>5130</v>
      </c>
      <c r="N82" s="104">
        <f t="shared" si="38"/>
        <v>5670</v>
      </c>
      <c r="O82" s="104">
        <f t="shared" si="38"/>
        <v>6210</v>
      </c>
      <c r="P82" s="104">
        <f t="shared" si="38"/>
        <v>6750</v>
      </c>
      <c r="Q82" s="104">
        <f t="shared" si="38"/>
        <v>7290</v>
      </c>
      <c r="R82" s="104">
        <f t="shared" si="38"/>
        <v>7830</v>
      </c>
      <c r="S82" s="104">
        <f t="shared" si="38"/>
        <v>8370</v>
      </c>
      <c r="T82" s="104">
        <f t="shared" si="38"/>
        <v>8910</v>
      </c>
      <c r="U82" s="104">
        <f t="shared" si="38"/>
        <v>9450</v>
      </c>
      <c r="V82" s="104">
        <f t="shared" si="38"/>
        <v>9990</v>
      </c>
      <c r="W82" s="104">
        <f t="shared" si="38"/>
        <v>10530</v>
      </c>
      <c r="X82" s="104">
        <f t="shared" ref="X82" si="39">W82+$F$79</f>
        <v>11070</v>
      </c>
      <c r="Y82" s="104">
        <f t="shared" ref="Y82" si="40">X82+$F$79</f>
        <v>11610</v>
      </c>
      <c r="Z82" s="104">
        <f t="shared" ref="Z82" si="41">Y82+$F$79</f>
        <v>12150</v>
      </c>
      <c r="AA82" s="104">
        <f t="shared" ref="AA82" si="42">Z82+$F$79</f>
        <v>12690</v>
      </c>
      <c r="AB82" s="104">
        <f t="shared" ref="AB82" si="43">AA82+$F$79</f>
        <v>13230</v>
      </c>
    </row>
    <row r="83" spans="3:28"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spans="3:28"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3:28">
      <c r="D85" s="104">
        <f>IF(D82&lt;D81,1,0)</f>
        <v>1</v>
      </c>
      <c r="E85" s="104">
        <f t="shared" ref="E85:W85" si="44">IF(E82&lt;E81,1,0)</f>
        <v>1</v>
      </c>
      <c r="F85" s="104">
        <f t="shared" si="44"/>
        <v>1</v>
      </c>
      <c r="G85" s="104">
        <f t="shared" si="44"/>
        <v>1</v>
      </c>
      <c r="H85" s="104">
        <f t="shared" si="44"/>
        <v>1</v>
      </c>
      <c r="I85" s="104">
        <f t="shared" si="44"/>
        <v>1</v>
      </c>
      <c r="J85" s="104">
        <f t="shared" si="44"/>
        <v>1</v>
      </c>
      <c r="K85" s="104">
        <f t="shared" si="44"/>
        <v>1</v>
      </c>
      <c r="L85" s="104">
        <f t="shared" si="44"/>
        <v>1</v>
      </c>
      <c r="M85" s="104">
        <f t="shared" si="44"/>
        <v>1</v>
      </c>
      <c r="N85" s="104">
        <f t="shared" si="44"/>
        <v>1</v>
      </c>
      <c r="O85" s="104">
        <f t="shared" si="44"/>
        <v>0</v>
      </c>
      <c r="P85" s="104">
        <f t="shared" si="44"/>
        <v>0</v>
      </c>
      <c r="Q85" s="104">
        <f t="shared" si="44"/>
        <v>0</v>
      </c>
      <c r="R85" s="104">
        <f t="shared" si="44"/>
        <v>0</v>
      </c>
      <c r="S85" s="104">
        <f t="shared" si="44"/>
        <v>0</v>
      </c>
      <c r="T85" s="104">
        <f t="shared" si="44"/>
        <v>0</v>
      </c>
      <c r="U85" s="104">
        <f t="shared" si="44"/>
        <v>0</v>
      </c>
      <c r="V85" s="104">
        <f t="shared" si="44"/>
        <v>0</v>
      </c>
      <c r="W85" s="104">
        <f t="shared" si="44"/>
        <v>0</v>
      </c>
      <c r="X85" s="104">
        <f t="shared" ref="X85:AB85" si="45">IF(X82&lt;X81,1,0)</f>
        <v>0</v>
      </c>
      <c r="Y85" s="104">
        <f t="shared" si="45"/>
        <v>0</v>
      </c>
      <c r="Z85" s="104">
        <f t="shared" si="45"/>
        <v>0</v>
      </c>
      <c r="AA85" s="104">
        <f t="shared" si="45"/>
        <v>0</v>
      </c>
      <c r="AB85" s="104">
        <f t="shared" si="45"/>
        <v>0</v>
      </c>
    </row>
    <row r="86" spans="3:28">
      <c r="D86" s="104">
        <f>IF(Calcoli!$D$76&gt;1,Calcoli!$F$79/2,0)</f>
        <v>270</v>
      </c>
      <c r="E86" s="104">
        <f>IF(Calcoli!$D$76&gt;1,Calcoli!$F$79,0)</f>
        <v>540</v>
      </c>
      <c r="F86" s="104">
        <f>IF(Calcoli!$D$76&gt;1,Calcoli!$F$79,0)</f>
        <v>540</v>
      </c>
      <c r="G86" s="104">
        <f>IF(Calcoli!$D$76&gt;1,Calcoli!$F$79,0)</f>
        <v>540</v>
      </c>
      <c r="H86" s="104">
        <f>IF(Calcoli!$D$76&gt;1,Calcoli!$F$79,0)</f>
        <v>540</v>
      </c>
      <c r="I86" s="104">
        <f>IF(Calcoli!$D$76&gt;1,Calcoli!$F$79,0)</f>
        <v>540</v>
      </c>
      <c r="J86" s="104">
        <f>IF(Calcoli!$D$76&gt;1,Calcoli!$F$79,0)</f>
        <v>540</v>
      </c>
      <c r="K86" s="104">
        <f>IF(Calcoli!$D$76&gt;1,Calcoli!$F$79,0)</f>
        <v>540</v>
      </c>
      <c r="L86" s="104">
        <f>IF(Calcoli!$D$76&gt;1,Calcoli!$F$79,0)</f>
        <v>540</v>
      </c>
      <c r="M86" s="104">
        <f>IF(Calcoli!$D$76&gt;1,Calcoli!$F$79,0)</f>
        <v>540</v>
      </c>
      <c r="N86" s="104">
        <f>IF(Calcoli!$D$76&gt;1,Calcoli!$F$79,0)</f>
        <v>540</v>
      </c>
      <c r="O86" s="104">
        <f>IF(Calcoli!$D$76&gt;1,Calcoli!$F$79,0)</f>
        <v>540</v>
      </c>
      <c r="P86" s="104">
        <f>IF(Calcoli!$D$76&gt;1,Calcoli!$F$79,0)</f>
        <v>540</v>
      </c>
      <c r="Q86" s="104">
        <f>IF(Calcoli!$D$76&gt;1,Calcoli!$F$79,0)</f>
        <v>540</v>
      </c>
      <c r="R86" s="104">
        <f>IF(Calcoli!$D$76&gt;1,Calcoli!$F$79,0)</f>
        <v>540</v>
      </c>
      <c r="S86" s="104">
        <f>IF(Calcoli!$D$76&gt;1,Calcoli!$F$79,0)</f>
        <v>540</v>
      </c>
      <c r="T86" s="104">
        <f>IF(Calcoli!$D$76&gt;1,Calcoli!$F$79,0)</f>
        <v>540</v>
      </c>
      <c r="U86" s="104">
        <f>IF(Calcoli!$D$76&gt;1,Calcoli!$F$79,0)</f>
        <v>540</v>
      </c>
      <c r="V86" s="104">
        <f>IF(Calcoli!$D$76&gt;1,Calcoli!$F$79,0)</f>
        <v>540</v>
      </c>
      <c r="W86" s="104">
        <f>IF(Calcoli!$D$76&gt;1,Calcoli!$F$79,0)</f>
        <v>540</v>
      </c>
      <c r="X86" s="104">
        <f>IF(Calcoli!$D$76&gt;1,Calcoli!$F$79,0)</f>
        <v>540</v>
      </c>
      <c r="Y86" s="104">
        <f>IF(Calcoli!$D$76&gt;1,Calcoli!$F$79,0)</f>
        <v>540</v>
      </c>
      <c r="Z86" s="104">
        <f>IF(Calcoli!$D$76&gt;1,Calcoli!$F$79,0)</f>
        <v>540</v>
      </c>
      <c r="AA86" s="104">
        <f>IF(Calcoli!$D$76&gt;1,Calcoli!$F$79,0)</f>
        <v>540</v>
      </c>
      <c r="AB86" s="104">
        <f>IF(Calcoli!$D$76&gt;1,Calcoli!$F$79,0)</f>
        <v>540</v>
      </c>
    </row>
    <row r="87" spans="3:28" ht="10.5" customHeight="1"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3:28">
      <c r="D88" s="104">
        <f>IF(D85=1,D86,0)</f>
        <v>270</v>
      </c>
      <c r="E88" s="104">
        <f>IF(E85=1,E86,$F$78-(D88))</f>
        <v>540</v>
      </c>
      <c r="F88" s="104">
        <f>IF(F85=1,F86,$F$78-(E88+D88))</f>
        <v>540</v>
      </c>
      <c r="G88" s="104">
        <f>IF(G85=1,G86,$F$78-(F88+E88+D88))</f>
        <v>540</v>
      </c>
      <c r="H88" s="104">
        <f>IF(H85=1,H86,$F$78-(G88+F88+E88+D88))</f>
        <v>540</v>
      </c>
      <c r="I88" s="104">
        <f>IF(I85=1,I86,$F$78-(H88+G88+F88+E88+D88))</f>
        <v>540</v>
      </c>
      <c r="J88" s="104">
        <f>IF(J85=1,J86,$F$78-(I88+H88+G88+F88+E88+D88))</f>
        <v>540</v>
      </c>
      <c r="K88" s="104">
        <f>IF(K85=1,K86,$F$78-(J88+I88+H88+G88+F88+E88+D88))</f>
        <v>540</v>
      </c>
      <c r="L88" s="104">
        <f>IF(L85=1,L86,$F$78-(K88+J88+I88+H88+G88+F88+E88+D88))</f>
        <v>540</v>
      </c>
      <c r="M88" s="104">
        <f>IF(M85=1,M86,$F$78-(L88+K88+J88+I88+H88+G88+F88+E88+D88))</f>
        <v>540</v>
      </c>
      <c r="N88" s="104">
        <f>IF(N85=1,N86,$F$78-(M88+L88+K88+J88+I88+H88+G88+F88+E88+D88))</f>
        <v>540</v>
      </c>
      <c r="O88" s="104">
        <f>IF(O85=1,O86,$F$78-(N88+M88+L88+K88+J88+I88+H88+G88+F88+E88+D88))</f>
        <v>330</v>
      </c>
      <c r="P88" s="104">
        <f>IF(P85=1,P86,$F$78-(O88+N88+M88+L88+K88+J88+I88+H88+G88+F88+E88+D88))</f>
        <v>0</v>
      </c>
      <c r="Q88" s="104">
        <f>IF(Q85=1,Q86,$F$78-(P88+O88+N88+M88+L88+K88+J88+I88+H88+G88+F88+E88+D88))</f>
        <v>0</v>
      </c>
      <c r="R88" s="104">
        <f>IF(R85=1,R86,$F$78-(Q88+P88+O88+N88+M88+L88+K88+J88+I88+H88+G88+F88+E88+D88))</f>
        <v>0</v>
      </c>
      <c r="S88" s="104">
        <f>IF(S85=1,S86,$F$78-(R88+Q88+P88+O88+N88+M88+L88+K88+J88+I88+H88+G88+F88+E88+D88))</f>
        <v>0</v>
      </c>
      <c r="T88" s="104">
        <f>IF(T85=1,T86,$F$78-(S88+R88+Q88+P88+O88+N88+M88+L88+K88+J88+I88+H88+G88+F88+E88+D88))</f>
        <v>0</v>
      </c>
      <c r="U88" s="104">
        <f>IF(U85=1,U86,$F$78-(T88+S88+R88+Q88+P88+O88+N88+M88+L88+K88+J88+I88+H88+G88+F88+E88+D88))</f>
        <v>0</v>
      </c>
      <c r="V88" s="104">
        <f>IF(V85=1,V86,$F$78-(U88+T88+S88+R88+Q88+P88+O88+N88+M88+L88+K88+J88+I88+H88+G88+F88+E88+D88))</f>
        <v>0</v>
      </c>
      <c r="W88" s="104">
        <f>IF(W85=1,W86,$F$78-(V88+U88+T88+S88+R88+Q88+P88+O88+N88+M88+L88+K88+J88+I88+H88+G88+F88+E88+D88))</f>
        <v>0</v>
      </c>
      <c r="X88" s="104">
        <f>IF(X85=1,X86,$F$78-(W88+V88+U88+T88+S88+R88+Q88+P88+O88+N88+M88+L88+K88+J88+I88+H88+G88+F88+E88+D88))</f>
        <v>0</v>
      </c>
      <c r="Y88" s="104">
        <f>IF(Y85=1,Y86,$F$78-(X88+W88+V88+U88+T88+S88+R88+Q88+P88+O88+N88+M88+L88+K88+J88+I88+H88+G88+F88+E88+D88))</f>
        <v>0</v>
      </c>
      <c r="Z88" s="104">
        <f>IF(Z85=1,Z86,$F$78-(Y88+X88+W88+V88+U88+T88+S88+R88+Q88+P88+O88+N88+M88+L88+K88+J88+I88+H88+G88+F88+E88+D88))</f>
        <v>0</v>
      </c>
      <c r="AA88" s="104">
        <f>IF(AA85=1,AA86,$F$78-(Z88+Y88+X88+W88+V88+U88+T88+S88+R88+Q88+P88+O88+N88+M88+L88+K88+J88+I88+H88+G88+F88+E88+D88))</f>
        <v>0</v>
      </c>
      <c r="AB88" s="104">
        <f>IF(AB85=1,AB86,$F$78-(AA88+Z88+Y88+X88+W88+V88+U88+T88+S88+R88+Q88+P88+O88+N88+M88+L88+K88+J88+I88+H88+G88+F88+E88+D88))</f>
        <v>0</v>
      </c>
    </row>
    <row r="90" spans="3:28">
      <c r="N90" s="104"/>
      <c r="O90" s="104"/>
    </row>
    <row r="91" spans="3:28">
      <c r="F91" s="104"/>
    </row>
    <row r="92" spans="3:28">
      <c r="D92" s="104">
        <f>'Simulazione 6.3'!E68</f>
        <v>602.875</v>
      </c>
      <c r="E92" s="104">
        <f>'Simulazione 6.3'!F68</f>
        <v>348.75159999999994</v>
      </c>
      <c r="F92" s="104">
        <f>'Simulazione 6.3'!G68</f>
        <v>356.64080739999974</v>
      </c>
      <c r="G92" s="104">
        <f>'Simulazione 6.3'!H68</f>
        <v>365.60174881083969</v>
      </c>
      <c r="H92" s="104">
        <f>'Simulazione 6.3'!I68</f>
        <v>375.69722591401035</v>
      </c>
      <c r="I92" s="104">
        <f>'Simulazione 6.3'!J68</f>
        <v>386.9939393486635</v>
      </c>
      <c r="J92" s="104">
        <f>'Simulazione 6.3'!K68</f>
        <v>399.56272623025245</v>
      </c>
      <c r="K92" s="104">
        <f>'Simulazione 6.3'!L68</f>
        <v>413.47881212989967</v>
      </c>
      <c r="L92" s="104">
        <f>'Simulazione 6.3'!M68</f>
        <v>428.82207839400223</v>
      </c>
      <c r="M92" s="104">
        <f>'Simulazione 6.3'!N68</f>
        <v>445.677345737064</v>
      </c>
      <c r="N92" s="104">
        <f>'Simulazione 6.3'!O68</f>
        <v>464.13467509748477</v>
      </c>
      <c r="O92" s="104">
        <f>'Simulazione 6.3'!P68</f>
        <v>694.28968680620744</v>
      </c>
      <c r="P92" s="104">
        <f>'Simulazione 6.3'!Q68</f>
        <v>1046.2438991819772</v>
      </c>
      <c r="Q92" s="104">
        <f>'Simulazione 6.3'!R68</f>
        <v>1070.1050877346802</v>
      </c>
      <c r="R92" s="104">
        <f>'Simulazione 6.3'!S68</f>
        <v>1095.9876662300785</v>
      </c>
      <c r="S92" s="104">
        <f>'Simulazione 6.3'!T68</f>
        <v>1124.013090945461</v>
      </c>
      <c r="T92" s="104">
        <f>'Simulazione 6.3'!U68</f>
        <v>1154.3102895265733</v>
      </c>
      <c r="U92" s="104">
        <f>'Simulazione 6.3'!V68</f>
        <v>1187.0161159419551</v>
      </c>
      <c r="V92" s="104">
        <f>'Simulazione 6.3'!W68</f>
        <v>1222.2758331217728</v>
      </c>
      <c r="W92" s="104">
        <f>'Simulazione 6.3'!X68</f>
        <v>1260.2436249647528</v>
      </c>
      <c r="X92" s="104">
        <f>'Simulazione 6.3'!Y68</f>
        <v>1058.2384672945905</v>
      </c>
      <c r="Y92" s="104">
        <f>'Simulazione 6.3'!Z68</f>
        <v>1094.8990873136177</v>
      </c>
      <c r="Z92" s="104">
        <f>'Simulazione 6.3'!AA68</f>
        <v>1132.8441901644001</v>
      </c>
      <c r="AA92" s="104">
        <f>'Simulazione 6.3'!AB68</f>
        <v>1172.1229334481127</v>
      </c>
      <c r="AB92" s="104">
        <f>'Simulazione 6.3'!AC68</f>
        <v>1212.7865768585002</v>
      </c>
    </row>
    <row r="93" spans="3:28"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3:28">
      <c r="C94" s="6" t="s">
        <v>109</v>
      </c>
      <c r="D94" s="105" t="b">
        <f>AND(D92&lt;15000)</f>
        <v>1</v>
      </c>
      <c r="E94" s="105" t="b">
        <f t="shared" ref="E94:W94" si="46">AND(E92&lt;15000)</f>
        <v>1</v>
      </c>
      <c r="F94" s="105" t="b">
        <f t="shared" si="46"/>
        <v>1</v>
      </c>
      <c r="G94" s="105" t="b">
        <f t="shared" si="46"/>
        <v>1</v>
      </c>
      <c r="H94" s="105" t="b">
        <f t="shared" si="46"/>
        <v>1</v>
      </c>
      <c r="I94" s="105" t="b">
        <f t="shared" si="46"/>
        <v>1</v>
      </c>
      <c r="J94" s="105" t="b">
        <f t="shared" si="46"/>
        <v>1</v>
      </c>
      <c r="K94" s="105" t="b">
        <f t="shared" si="46"/>
        <v>1</v>
      </c>
      <c r="L94" s="105" t="b">
        <f t="shared" si="46"/>
        <v>1</v>
      </c>
      <c r="M94" s="105" t="b">
        <f t="shared" si="46"/>
        <v>1</v>
      </c>
      <c r="N94" s="105" t="b">
        <f t="shared" si="46"/>
        <v>1</v>
      </c>
      <c r="O94" s="105" t="b">
        <f t="shared" si="46"/>
        <v>1</v>
      </c>
      <c r="P94" s="105" t="b">
        <f t="shared" si="46"/>
        <v>1</v>
      </c>
      <c r="Q94" s="105" t="b">
        <f t="shared" si="46"/>
        <v>1</v>
      </c>
      <c r="R94" s="105" t="b">
        <f t="shared" si="46"/>
        <v>1</v>
      </c>
      <c r="S94" s="105" t="b">
        <f t="shared" si="46"/>
        <v>1</v>
      </c>
      <c r="T94" s="105" t="b">
        <f t="shared" si="46"/>
        <v>1</v>
      </c>
      <c r="U94" s="105" t="b">
        <f t="shared" si="46"/>
        <v>1</v>
      </c>
      <c r="V94" s="105" t="b">
        <f t="shared" si="46"/>
        <v>1</v>
      </c>
      <c r="W94" s="105" t="b">
        <f t="shared" si="46"/>
        <v>1</v>
      </c>
      <c r="X94" s="105" t="b">
        <f t="shared" ref="X94:AB94" si="47">AND(X92&lt;15000)</f>
        <v>1</v>
      </c>
      <c r="Y94" s="105" t="b">
        <f t="shared" si="47"/>
        <v>1</v>
      </c>
      <c r="Z94" s="105" t="b">
        <f t="shared" si="47"/>
        <v>1</v>
      </c>
      <c r="AA94" s="105" t="b">
        <f t="shared" si="47"/>
        <v>1</v>
      </c>
      <c r="AB94" s="105" t="b">
        <f t="shared" si="47"/>
        <v>1</v>
      </c>
    </row>
    <row r="95" spans="3:28">
      <c r="C95" s="104"/>
      <c r="D95" s="105">
        <f>IF(D94=TRUE,D92/100*'Simulazione 6.3'!$L$13,0)</f>
        <v>138.66125</v>
      </c>
      <c r="E95" s="105">
        <f>IF(E94=TRUE,E92/100*'Simulazione 6.3'!$L$13,0)</f>
        <v>80.212867999999986</v>
      </c>
      <c r="F95" s="105">
        <f>IF(F94=TRUE,F92/100*'Simulazione 6.3'!$L$13,0)</f>
        <v>82.027385701999933</v>
      </c>
      <c r="G95" s="105">
        <f>IF(G94=TRUE,G92/100*'Simulazione 6.3'!$L$13,0)</f>
        <v>84.08840222649313</v>
      </c>
      <c r="H95" s="105">
        <f>IF(H94=TRUE,H92/100*'Simulazione 6.3'!$L$13,0)</f>
        <v>86.410361960222374</v>
      </c>
      <c r="I95" s="105">
        <f>IF(I94=TRUE,I92/100*'Simulazione 6.3'!$L$13,0)</f>
        <v>89.008606050192597</v>
      </c>
      <c r="J95" s="105">
        <f>IF(J94=TRUE,J92/100*'Simulazione 6.3'!$L$13,0)</f>
        <v>91.899427032958059</v>
      </c>
      <c r="K95" s="105">
        <f>IF(K94=TRUE,K92/100*'Simulazione 6.3'!$L$13,0)</f>
        <v>95.100126789876924</v>
      </c>
      <c r="L95" s="105">
        <f>IF(L94=TRUE,L92/100*'Simulazione 6.3'!$L$13,0)</f>
        <v>98.629078030620505</v>
      </c>
      <c r="M95" s="105">
        <f>IF(M94=TRUE,M92/100*'Simulazione 6.3'!$L$13,0)</f>
        <v>102.50578951952473</v>
      </c>
      <c r="N95" s="105">
        <f>IF(N94=TRUE,N92/100*'Simulazione 6.3'!$L$13,0)</f>
        <v>106.7509752724215</v>
      </c>
      <c r="O95" s="105">
        <f>IF(O94=TRUE,O92/100*'Simulazione 6.3'!$L$13,0)</f>
        <v>159.68662796542773</v>
      </c>
      <c r="P95" s="105">
        <f>IF(P94=TRUE,P92/100*'Simulazione 6.3'!$L$13,0)</f>
        <v>240.63609681185474</v>
      </c>
      <c r="Q95" s="105">
        <f>IF(Q94=TRUE,Q92/100*'Simulazione 6.3'!$L$13,0)</f>
        <v>246.12417017897644</v>
      </c>
      <c r="R95" s="105">
        <f>IF(R94=TRUE,R92/100*'Simulazione 6.3'!$L$13,0)</f>
        <v>252.07716323291805</v>
      </c>
      <c r="S95" s="105">
        <f>IF(S94=TRUE,S92/100*'Simulazione 6.3'!$L$13,0)</f>
        <v>258.52301091745602</v>
      </c>
      <c r="T95" s="105">
        <f>IF(T94=TRUE,T92/100*'Simulazione 6.3'!$L$13,0)</f>
        <v>265.49136659111184</v>
      </c>
      <c r="U95" s="105">
        <f>IF(U94=TRUE,U92/100*'Simulazione 6.3'!$L$13,0)</f>
        <v>273.01370666664968</v>
      </c>
      <c r="V95" s="105">
        <f>IF(V94=TRUE,V92/100*'Simulazione 6.3'!$L$13,0)</f>
        <v>281.12344161800775</v>
      </c>
      <c r="W95" s="105">
        <f>IF(W94=TRUE,W92/100*'Simulazione 6.3'!$L$13,0)</f>
        <v>289.85603374189316</v>
      </c>
      <c r="X95" s="105">
        <f>IF(X94=TRUE,X92/100*'Simulazione 6.3'!$L$13,0)</f>
        <v>243.3948474777558</v>
      </c>
      <c r="Y95" s="105">
        <f>IF(Y94=TRUE,Y92/100*'Simulazione 6.3'!$L$13,0)</f>
        <v>251.82679008213208</v>
      </c>
      <c r="Z95" s="105">
        <f>IF(Z94=TRUE,Z92/100*'Simulazione 6.3'!$L$13,0)</f>
        <v>260.55416373781202</v>
      </c>
      <c r="AA95" s="105">
        <f>IF(AA94=TRUE,AA92/100*'Simulazione 6.3'!$L$13,0)</f>
        <v>269.5882746930659</v>
      </c>
      <c r="AB95" s="105">
        <f>IF(AB94=TRUE,AB92/100*'Simulazione 6.3'!$L$13,0)</f>
        <v>278.94091267745506</v>
      </c>
    </row>
    <row r="96" spans="3:28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3:28">
      <c r="C97" s="104" t="s">
        <v>108</v>
      </c>
      <c r="D97" s="105" t="b">
        <f>AND(D92&lt;28001,D92&gt;15000)</f>
        <v>0</v>
      </c>
      <c r="E97" s="105" t="b">
        <f t="shared" ref="E97:W97" si="48">AND(E92&lt;28001,E92&gt;15000)</f>
        <v>0</v>
      </c>
      <c r="F97" s="105" t="b">
        <f t="shared" si="48"/>
        <v>0</v>
      </c>
      <c r="G97" s="105" t="b">
        <f t="shared" si="48"/>
        <v>0</v>
      </c>
      <c r="H97" s="105" t="b">
        <f t="shared" si="48"/>
        <v>0</v>
      </c>
      <c r="I97" s="105" t="b">
        <f t="shared" si="48"/>
        <v>0</v>
      </c>
      <c r="J97" s="105" t="b">
        <f t="shared" si="48"/>
        <v>0</v>
      </c>
      <c r="K97" s="105" t="b">
        <f t="shared" si="48"/>
        <v>0</v>
      </c>
      <c r="L97" s="105" t="b">
        <f t="shared" si="48"/>
        <v>0</v>
      </c>
      <c r="M97" s="105" t="b">
        <f t="shared" si="48"/>
        <v>0</v>
      </c>
      <c r="N97" s="105" t="b">
        <f t="shared" si="48"/>
        <v>0</v>
      </c>
      <c r="O97" s="105" t="b">
        <f t="shared" si="48"/>
        <v>0</v>
      </c>
      <c r="P97" s="105" t="b">
        <f t="shared" si="48"/>
        <v>0</v>
      </c>
      <c r="Q97" s="105" t="b">
        <f t="shared" si="48"/>
        <v>0</v>
      </c>
      <c r="R97" s="105" t="b">
        <f t="shared" si="48"/>
        <v>0</v>
      </c>
      <c r="S97" s="105" t="b">
        <f t="shared" si="48"/>
        <v>0</v>
      </c>
      <c r="T97" s="105" t="b">
        <f t="shared" si="48"/>
        <v>0</v>
      </c>
      <c r="U97" s="105" t="b">
        <f t="shared" si="48"/>
        <v>0</v>
      </c>
      <c r="V97" s="105" t="b">
        <f t="shared" si="48"/>
        <v>0</v>
      </c>
      <c r="W97" s="105" t="b">
        <f t="shared" si="48"/>
        <v>0</v>
      </c>
      <c r="X97" s="105" t="b">
        <f t="shared" ref="X97:AB97" si="49">AND(X92&lt;28001,X92&gt;15000)</f>
        <v>0</v>
      </c>
      <c r="Y97" s="105" t="b">
        <f t="shared" si="49"/>
        <v>0</v>
      </c>
      <c r="Z97" s="105" t="b">
        <f t="shared" si="49"/>
        <v>0</v>
      </c>
      <c r="AA97" s="105" t="b">
        <f t="shared" si="49"/>
        <v>0</v>
      </c>
      <c r="AB97" s="105" t="b">
        <f t="shared" si="49"/>
        <v>0</v>
      </c>
    </row>
    <row r="98" spans="3:28">
      <c r="C98" s="104"/>
      <c r="D98" s="105">
        <f>IF(D97=TRUE,3450+((D92-15000)/100*'Simulazione 6.3'!$L$14),0)</f>
        <v>0</v>
      </c>
      <c r="E98" s="105">
        <f>IF(E97=TRUE,3450+((E92-15000)/100*'Simulazione 6.3'!$L$14),0)</f>
        <v>0</v>
      </c>
      <c r="F98" s="105">
        <f>IF(F97=TRUE,3450+((F92-15000)/100*'Simulazione 6.3'!$L$14),0)</f>
        <v>0</v>
      </c>
      <c r="G98" s="105">
        <f>IF(G97=TRUE,3450+((G92-15000)/100*'Simulazione 6.3'!$L$14),0)</f>
        <v>0</v>
      </c>
      <c r="H98" s="105">
        <f>IF(H97=TRUE,3450+((H92-15000)/100*'Simulazione 6.3'!$L$14),0)</f>
        <v>0</v>
      </c>
      <c r="I98" s="105">
        <f>IF(I97=TRUE,3450+((I92-15000)/100*'Simulazione 6.3'!$L$14),0)</f>
        <v>0</v>
      </c>
      <c r="J98" s="105">
        <f>IF(J97=TRUE,3450+((J92-15000)/100*'Simulazione 6.3'!$L$14),0)</f>
        <v>0</v>
      </c>
      <c r="K98" s="105">
        <f>IF(K97=TRUE,3450+((K92-15000)/100*'Simulazione 6.3'!$L$14),0)</f>
        <v>0</v>
      </c>
      <c r="L98" s="105">
        <f>IF(L97=TRUE,3450+((L92-15000)/100*'Simulazione 6.3'!$L$14),0)</f>
        <v>0</v>
      </c>
      <c r="M98" s="105">
        <f>IF(M97=TRUE,3450+((M92-15000)/100*'Simulazione 6.3'!$L$14),0)</f>
        <v>0</v>
      </c>
      <c r="N98" s="105">
        <f>IF(N97=TRUE,3450+((N92-15000)/100*'Simulazione 6.3'!$L$14),0)</f>
        <v>0</v>
      </c>
      <c r="O98" s="105">
        <f>IF(O97=TRUE,3450+((O92-15000)/100*'Simulazione 6.3'!$L$14),0)</f>
        <v>0</v>
      </c>
      <c r="P98" s="105">
        <f>IF(P97=TRUE,3450+((P92-15000)/100*'Simulazione 6.3'!$L$14),0)</f>
        <v>0</v>
      </c>
      <c r="Q98" s="105">
        <f>IF(Q97=TRUE,3450+((Q92-15000)/100*'Simulazione 6.3'!$L$14),0)</f>
        <v>0</v>
      </c>
      <c r="R98" s="105">
        <f>IF(R97=TRUE,3450+((R92-15000)/100*'Simulazione 6.3'!$L$14),0)</f>
        <v>0</v>
      </c>
      <c r="S98" s="105">
        <f>IF(S97=TRUE,3450+((S92-15000)/100*'Simulazione 6.3'!$L$14),0)</f>
        <v>0</v>
      </c>
      <c r="T98" s="105">
        <f>IF(T97=TRUE,3450+((T92-15000)/100*'Simulazione 6.3'!$L$14),0)</f>
        <v>0</v>
      </c>
      <c r="U98" s="105">
        <f>IF(U97=TRUE,3450+((U92-15000)/100*'Simulazione 6.3'!$L$14),0)</f>
        <v>0</v>
      </c>
      <c r="V98" s="105">
        <f>IF(V97=TRUE,3450+((V92-15000)/100*'Simulazione 6.3'!$L$14),0)</f>
        <v>0</v>
      </c>
      <c r="W98" s="105">
        <f>IF(W97=TRUE,3450+((W92-15000)/100*'Simulazione 6.3'!$L$14),0)</f>
        <v>0</v>
      </c>
      <c r="X98" s="105">
        <f>IF(X97=TRUE,3450+((X92-15000)/100*'Simulazione 6.3'!$L$14),0)</f>
        <v>0</v>
      </c>
      <c r="Y98" s="105">
        <f>IF(Y97=TRUE,3450+((Y92-15000)/100*'Simulazione 6.3'!$L$14),0)</f>
        <v>0</v>
      </c>
      <c r="Z98" s="105">
        <f>IF(Z97=TRUE,3450+((Z92-15000)/100*'Simulazione 6.3'!$L$14),0)</f>
        <v>0</v>
      </c>
      <c r="AA98" s="105">
        <f>IF(AA97=TRUE,3450+((AA92-15000)/100*'Simulazione 6.3'!$L$14),0)</f>
        <v>0</v>
      </c>
      <c r="AB98" s="105">
        <f>IF(AB97=TRUE,3450+((AB92-15000)/100*'Simulazione 6.3'!$L$14),0)</f>
        <v>0</v>
      </c>
    </row>
    <row r="99" spans="3:28"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</row>
    <row r="100" spans="3:28">
      <c r="C100" s="104" t="s">
        <v>110</v>
      </c>
      <c r="D100" s="105" t="b">
        <f>AND(D92&lt;55001,D92&gt;28000)</f>
        <v>0</v>
      </c>
      <c r="E100" s="105" t="b">
        <f t="shared" ref="E100:W100" si="50">AND(E92&lt;55001,E92&gt;28000)</f>
        <v>0</v>
      </c>
      <c r="F100" s="105" t="b">
        <f t="shared" si="50"/>
        <v>0</v>
      </c>
      <c r="G100" s="105" t="b">
        <f t="shared" si="50"/>
        <v>0</v>
      </c>
      <c r="H100" s="105" t="b">
        <f t="shared" si="50"/>
        <v>0</v>
      </c>
      <c r="I100" s="105" t="b">
        <f t="shared" si="50"/>
        <v>0</v>
      </c>
      <c r="J100" s="105" t="b">
        <f t="shared" si="50"/>
        <v>0</v>
      </c>
      <c r="K100" s="105" t="b">
        <f t="shared" si="50"/>
        <v>0</v>
      </c>
      <c r="L100" s="105" t="b">
        <f t="shared" si="50"/>
        <v>0</v>
      </c>
      <c r="M100" s="105" t="b">
        <f t="shared" si="50"/>
        <v>0</v>
      </c>
      <c r="N100" s="105" t="b">
        <f t="shared" si="50"/>
        <v>0</v>
      </c>
      <c r="O100" s="105" t="b">
        <f t="shared" si="50"/>
        <v>0</v>
      </c>
      <c r="P100" s="105" t="b">
        <f t="shared" si="50"/>
        <v>0</v>
      </c>
      <c r="Q100" s="105" t="b">
        <f t="shared" si="50"/>
        <v>0</v>
      </c>
      <c r="R100" s="105" t="b">
        <f t="shared" si="50"/>
        <v>0</v>
      </c>
      <c r="S100" s="105" t="b">
        <f t="shared" si="50"/>
        <v>0</v>
      </c>
      <c r="T100" s="105" t="b">
        <f t="shared" si="50"/>
        <v>0</v>
      </c>
      <c r="U100" s="105" t="b">
        <f t="shared" si="50"/>
        <v>0</v>
      </c>
      <c r="V100" s="105" t="b">
        <f t="shared" si="50"/>
        <v>0</v>
      </c>
      <c r="W100" s="105" t="b">
        <f t="shared" si="50"/>
        <v>0</v>
      </c>
      <c r="X100" s="105" t="b">
        <f t="shared" ref="X100:AB100" si="51">AND(X92&lt;55001,X92&gt;28000)</f>
        <v>0</v>
      </c>
      <c r="Y100" s="105" t="b">
        <f t="shared" si="51"/>
        <v>0</v>
      </c>
      <c r="Z100" s="105" t="b">
        <f t="shared" si="51"/>
        <v>0</v>
      </c>
      <c r="AA100" s="105" t="b">
        <f t="shared" si="51"/>
        <v>0</v>
      </c>
      <c r="AB100" s="105" t="b">
        <f t="shared" si="51"/>
        <v>0</v>
      </c>
    </row>
    <row r="101" spans="3:28">
      <c r="C101" s="104"/>
      <c r="D101" s="105">
        <f>IF(D100=TRUE,6960+((D92-28000)/100*'Simulazione 6.3'!$L$15),0)</f>
        <v>0</v>
      </c>
      <c r="E101" s="105">
        <f>IF(E100=TRUE,6960+((E92-28000)/100*'Simulazione 6.3'!$L$15),0)</f>
        <v>0</v>
      </c>
      <c r="F101" s="105">
        <f>IF(F100=TRUE,6960+((F92-28000)/100*'Simulazione 6.3'!$L$15),0)</f>
        <v>0</v>
      </c>
      <c r="G101" s="105">
        <f>IF(G100=TRUE,6960+((G92-28000)/100*'Simulazione 6.3'!$L$15),0)</f>
        <v>0</v>
      </c>
      <c r="H101" s="105">
        <f>IF(H100=TRUE,6960+((H92-28000)/100*'Simulazione 6.3'!$L$15),0)</f>
        <v>0</v>
      </c>
      <c r="I101" s="105">
        <f>IF(I100=TRUE,6960+((I92-28000)/100*'Simulazione 6.3'!$L$15),0)</f>
        <v>0</v>
      </c>
      <c r="J101" s="105">
        <f>IF(J100=TRUE,6960+((J92-28000)/100*'Simulazione 6.3'!$L$15),0)</f>
        <v>0</v>
      </c>
      <c r="K101" s="105">
        <f>IF(K100=TRUE,6960+((K92-28000)/100*'Simulazione 6.3'!$L$15),0)</f>
        <v>0</v>
      </c>
      <c r="L101" s="105">
        <f>IF(L100=TRUE,6960+((L92-28000)/100*'Simulazione 6.3'!$L$15),0)</f>
        <v>0</v>
      </c>
      <c r="M101" s="105">
        <f>IF(M100=TRUE,6960+((M92-28000)/100*'Simulazione 6.3'!$L$15),0)</f>
        <v>0</v>
      </c>
      <c r="N101" s="105">
        <f>IF(N100=TRUE,6960+((N92-28000)/100*'Simulazione 6.3'!$L$15),0)</f>
        <v>0</v>
      </c>
      <c r="O101" s="105">
        <f>IF(O100=TRUE,6960+((O92-28000)/100*'Simulazione 6.3'!$L$15),0)</f>
        <v>0</v>
      </c>
      <c r="P101" s="105">
        <f>IF(P100=TRUE,6960+((P92-28000)/100*'Simulazione 6.3'!$L$15),0)</f>
        <v>0</v>
      </c>
      <c r="Q101" s="105">
        <f>IF(Q100=TRUE,6960+((Q92-28000)/100*'Simulazione 6.3'!$L$15),0)</f>
        <v>0</v>
      </c>
      <c r="R101" s="105">
        <f>IF(R100=TRUE,6960+((R92-28000)/100*'Simulazione 6.3'!$L$15),0)</f>
        <v>0</v>
      </c>
      <c r="S101" s="105">
        <f>IF(S100=TRUE,6960+((S92-28000)/100*'Simulazione 6.3'!$L$15),0)</f>
        <v>0</v>
      </c>
      <c r="T101" s="105">
        <f>IF(T100=TRUE,6960+((T92-28000)/100*'Simulazione 6.3'!$L$15),0)</f>
        <v>0</v>
      </c>
      <c r="U101" s="105">
        <f>IF(U100=TRUE,6960+((U92-28000)/100*'Simulazione 6.3'!$L$15),0)</f>
        <v>0</v>
      </c>
      <c r="V101" s="105">
        <f>IF(V100=TRUE,6960+((V92-28000)/100*'Simulazione 6.3'!$L$15),0)</f>
        <v>0</v>
      </c>
      <c r="W101" s="105">
        <f>IF(W100=TRUE,6960+((W92-28000)/100*'Simulazione 6.3'!$L$15),0)</f>
        <v>0</v>
      </c>
      <c r="X101" s="105">
        <f>IF(X100=TRUE,6960+((X92-28000)/100*'Simulazione 6.3'!$L$15),0)</f>
        <v>0</v>
      </c>
      <c r="Y101" s="105">
        <f>IF(Y100=TRUE,6960+((Y92-28000)/100*'Simulazione 6.3'!$L$15),0)</f>
        <v>0</v>
      </c>
      <c r="Z101" s="105">
        <f>IF(Z100=TRUE,6960+((Z92-28000)/100*'Simulazione 6.3'!$L$15),0)</f>
        <v>0</v>
      </c>
      <c r="AA101" s="105">
        <f>IF(AA100=TRUE,6960+((AA92-28000)/100*'Simulazione 6.3'!$L$15),0)</f>
        <v>0</v>
      </c>
      <c r="AB101" s="105">
        <f>IF(AB100=TRUE,6960+((AB92-28000)/100*'Simulazione 6.3'!$L$15),0)</f>
        <v>0</v>
      </c>
    </row>
    <row r="102" spans="3:28"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</row>
    <row r="103" spans="3:28">
      <c r="C103" s="104" t="s">
        <v>111</v>
      </c>
      <c r="D103" s="105" t="b">
        <f>AND(D92&lt;75001,D92&gt;55000)</f>
        <v>0</v>
      </c>
      <c r="E103" s="105" t="b">
        <f t="shared" ref="E103:W103" si="52">AND(E92&lt;75001,E92&gt;55000)</f>
        <v>0</v>
      </c>
      <c r="F103" s="105" t="b">
        <f t="shared" si="52"/>
        <v>0</v>
      </c>
      <c r="G103" s="105" t="b">
        <f t="shared" si="52"/>
        <v>0</v>
      </c>
      <c r="H103" s="105" t="b">
        <f t="shared" si="52"/>
        <v>0</v>
      </c>
      <c r="I103" s="105" t="b">
        <f t="shared" si="52"/>
        <v>0</v>
      </c>
      <c r="J103" s="105" t="b">
        <f t="shared" si="52"/>
        <v>0</v>
      </c>
      <c r="K103" s="105" t="b">
        <f t="shared" si="52"/>
        <v>0</v>
      </c>
      <c r="L103" s="105" t="b">
        <f t="shared" si="52"/>
        <v>0</v>
      </c>
      <c r="M103" s="105" t="b">
        <f t="shared" si="52"/>
        <v>0</v>
      </c>
      <c r="N103" s="105" t="b">
        <f t="shared" si="52"/>
        <v>0</v>
      </c>
      <c r="O103" s="105" t="b">
        <f t="shared" si="52"/>
        <v>0</v>
      </c>
      <c r="P103" s="105" t="b">
        <f t="shared" si="52"/>
        <v>0</v>
      </c>
      <c r="Q103" s="105" t="b">
        <f t="shared" si="52"/>
        <v>0</v>
      </c>
      <c r="R103" s="105" t="b">
        <f t="shared" si="52"/>
        <v>0</v>
      </c>
      <c r="S103" s="105" t="b">
        <f t="shared" si="52"/>
        <v>0</v>
      </c>
      <c r="T103" s="105" t="b">
        <f t="shared" si="52"/>
        <v>0</v>
      </c>
      <c r="U103" s="105" t="b">
        <f t="shared" si="52"/>
        <v>0</v>
      </c>
      <c r="V103" s="105" t="b">
        <f t="shared" si="52"/>
        <v>0</v>
      </c>
      <c r="W103" s="105" t="b">
        <f t="shared" si="52"/>
        <v>0</v>
      </c>
      <c r="X103" s="105" t="b">
        <f t="shared" ref="X103:AB103" si="53">AND(X92&lt;75001,X92&gt;55000)</f>
        <v>0</v>
      </c>
      <c r="Y103" s="105" t="b">
        <f t="shared" si="53"/>
        <v>0</v>
      </c>
      <c r="Z103" s="105" t="b">
        <f t="shared" si="53"/>
        <v>0</v>
      </c>
      <c r="AA103" s="105" t="b">
        <f t="shared" si="53"/>
        <v>0</v>
      </c>
      <c r="AB103" s="105" t="b">
        <f t="shared" si="53"/>
        <v>0</v>
      </c>
    </row>
    <row r="104" spans="3:28">
      <c r="D104" s="105">
        <f>IF(D103=TRUE,17220+((D92-55000)/100*'Simulazione 6.3'!$L$16),0)</f>
        <v>0</v>
      </c>
      <c r="E104" s="105">
        <f>IF(E103=TRUE,17220+((E92-55000)/100*'Simulazione 6.3'!$L$16),0)</f>
        <v>0</v>
      </c>
      <c r="F104" s="105">
        <f>IF(F103=TRUE,17220+((F92-55000)/100*'Simulazione 6.3'!$L$16),0)</f>
        <v>0</v>
      </c>
      <c r="G104" s="105">
        <f>IF(G103=TRUE,17220+((G92-55000)/100*'Simulazione 6.3'!$L$16),0)</f>
        <v>0</v>
      </c>
      <c r="H104" s="105">
        <f>IF(H103=TRUE,17220+((H92-55000)/100*'Simulazione 6.3'!$L$16),0)</f>
        <v>0</v>
      </c>
      <c r="I104" s="105">
        <f>IF(I103=TRUE,17220+((I92-55000)/100*'Simulazione 6.3'!$L$16),0)</f>
        <v>0</v>
      </c>
      <c r="J104" s="105">
        <f>IF(J103=TRUE,17220+((J92-55000)/100*'Simulazione 6.3'!$L$16),0)</f>
        <v>0</v>
      </c>
      <c r="K104" s="105">
        <f>IF(K103=TRUE,17220+((K92-55000)/100*'Simulazione 6.3'!$L$16),0)</f>
        <v>0</v>
      </c>
      <c r="L104" s="105">
        <f>IF(L103=TRUE,17220+((L92-55000)/100*'Simulazione 6.3'!$L$16),0)</f>
        <v>0</v>
      </c>
      <c r="M104" s="105">
        <f>IF(M103=TRUE,17220+((M92-55000)/100*'Simulazione 6.3'!$L$16),0)</f>
        <v>0</v>
      </c>
      <c r="N104" s="105">
        <f>IF(N103=TRUE,17220+((N92-55000)/100*'Simulazione 6.3'!$L$16),0)</f>
        <v>0</v>
      </c>
      <c r="O104" s="105">
        <f>IF(O103=TRUE,17220+((O92-55000)/100*'Simulazione 6.3'!$L$16),0)</f>
        <v>0</v>
      </c>
      <c r="P104" s="105">
        <f>IF(P103=TRUE,17220+((P92-55000)/100*'Simulazione 6.3'!$L$16),0)</f>
        <v>0</v>
      </c>
      <c r="Q104" s="105">
        <f>IF(Q103=TRUE,17220+((Q92-55000)/100*'Simulazione 6.3'!$L$16),0)</f>
        <v>0</v>
      </c>
      <c r="R104" s="105">
        <f>IF(R103=TRUE,17220+((R92-55000)/100*'Simulazione 6.3'!$L$16),0)</f>
        <v>0</v>
      </c>
      <c r="S104" s="105">
        <f>IF(S103=TRUE,17220+((S92-55000)/100*'Simulazione 6.3'!$L$16),0)</f>
        <v>0</v>
      </c>
      <c r="T104" s="105">
        <f>IF(T103=TRUE,17220+((T92-55000)/100*'Simulazione 6.3'!$L$16),0)</f>
        <v>0</v>
      </c>
      <c r="U104" s="105">
        <f>IF(U103=TRUE,17220+((U92-55000)/100*'Simulazione 6.3'!$L$16),0)</f>
        <v>0</v>
      </c>
      <c r="V104" s="105">
        <f>IF(V103=TRUE,17220+((V92-55000)/100*'Simulazione 6.3'!$L$16),0)</f>
        <v>0</v>
      </c>
      <c r="W104" s="105">
        <f>IF(W103=TRUE,17220+((W92-55000)/100*'Simulazione 6.3'!$L$16),0)</f>
        <v>0</v>
      </c>
      <c r="X104" s="105">
        <f>IF(X103=TRUE,17220+((X92-55000)/100*'Simulazione 6.3'!$L$16),0)</f>
        <v>0</v>
      </c>
      <c r="Y104" s="105">
        <f>IF(Y103=TRUE,17220+((Y92-55000)/100*'Simulazione 6.3'!$L$16),0)</f>
        <v>0</v>
      </c>
      <c r="Z104" s="105">
        <f>IF(Z103=TRUE,17220+((Z92-55000)/100*'Simulazione 6.3'!$L$16),0)</f>
        <v>0</v>
      </c>
      <c r="AA104" s="105">
        <f>IF(AA103=TRUE,17220+((AA92-55000)/100*'Simulazione 6.3'!$L$16),0)</f>
        <v>0</v>
      </c>
      <c r="AB104" s="105">
        <f>IF(AB103=TRUE,17220+((AB92-55000)/100*'Simulazione 6.3'!$L$16),0)</f>
        <v>0</v>
      </c>
    </row>
    <row r="105" spans="3:28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</row>
    <row r="106" spans="3:28">
      <c r="C106" s="104" t="s">
        <v>112</v>
      </c>
      <c r="D106" s="105" t="b">
        <f>AND(D92&gt;75000)</f>
        <v>0</v>
      </c>
      <c r="E106" s="105" t="b">
        <f t="shared" ref="E106:W106" si="54">AND(E92&gt;75000)</f>
        <v>0</v>
      </c>
      <c r="F106" s="105" t="b">
        <f t="shared" si="54"/>
        <v>0</v>
      </c>
      <c r="G106" s="105" t="b">
        <f t="shared" si="54"/>
        <v>0</v>
      </c>
      <c r="H106" s="105" t="b">
        <f t="shared" si="54"/>
        <v>0</v>
      </c>
      <c r="I106" s="105" t="b">
        <f t="shared" si="54"/>
        <v>0</v>
      </c>
      <c r="J106" s="105" t="b">
        <f t="shared" si="54"/>
        <v>0</v>
      </c>
      <c r="K106" s="105" t="b">
        <f t="shared" si="54"/>
        <v>0</v>
      </c>
      <c r="L106" s="105" t="b">
        <f t="shared" si="54"/>
        <v>0</v>
      </c>
      <c r="M106" s="105" t="b">
        <f t="shared" si="54"/>
        <v>0</v>
      </c>
      <c r="N106" s="105" t="b">
        <f t="shared" si="54"/>
        <v>0</v>
      </c>
      <c r="O106" s="105" t="b">
        <f t="shared" si="54"/>
        <v>0</v>
      </c>
      <c r="P106" s="105" t="b">
        <f t="shared" si="54"/>
        <v>0</v>
      </c>
      <c r="Q106" s="105" t="b">
        <f t="shared" si="54"/>
        <v>0</v>
      </c>
      <c r="R106" s="105" t="b">
        <f t="shared" si="54"/>
        <v>0</v>
      </c>
      <c r="S106" s="105" t="b">
        <f t="shared" si="54"/>
        <v>0</v>
      </c>
      <c r="T106" s="105" t="b">
        <f t="shared" si="54"/>
        <v>0</v>
      </c>
      <c r="U106" s="105" t="b">
        <f t="shared" si="54"/>
        <v>0</v>
      </c>
      <c r="V106" s="105" t="b">
        <f t="shared" si="54"/>
        <v>0</v>
      </c>
      <c r="W106" s="105" t="b">
        <f t="shared" si="54"/>
        <v>0</v>
      </c>
      <c r="X106" s="105" t="b">
        <f t="shared" ref="X106:AB106" si="55">AND(X92&gt;75000)</f>
        <v>0</v>
      </c>
      <c r="Y106" s="105" t="b">
        <f t="shared" si="55"/>
        <v>0</v>
      </c>
      <c r="Z106" s="105" t="b">
        <f t="shared" si="55"/>
        <v>0</v>
      </c>
      <c r="AA106" s="105" t="b">
        <f t="shared" si="55"/>
        <v>0</v>
      </c>
      <c r="AB106" s="105" t="b">
        <f t="shared" si="55"/>
        <v>0</v>
      </c>
    </row>
    <row r="107" spans="3:28">
      <c r="D107" s="105">
        <f>IF(D106=TRUE,25420+((D92-75000)/100*'Simulazione 6.3'!$L$17),0)</f>
        <v>0</v>
      </c>
      <c r="E107" s="105">
        <f>IF(E106=TRUE,25420+((E92-75000)/100*'Simulazione 6.3'!$L$17),0)</f>
        <v>0</v>
      </c>
      <c r="F107" s="105">
        <f>IF(F106=TRUE,25420+((F92-75000)/100*'Simulazione 6.3'!$L$17),0)</f>
        <v>0</v>
      </c>
      <c r="G107" s="105">
        <f>IF(G106=TRUE,25420+((G92-75000)/100*'Simulazione 6.3'!$L$17),0)</f>
        <v>0</v>
      </c>
      <c r="H107" s="105">
        <f>IF(H106=TRUE,25420+((H92-75000)/100*'Simulazione 6.3'!$L$17),0)</f>
        <v>0</v>
      </c>
      <c r="I107" s="105">
        <f>IF(I106=TRUE,25420+((I92-75000)/100*'Simulazione 6.3'!$L$17),0)</f>
        <v>0</v>
      </c>
      <c r="J107" s="105">
        <f>IF(J106=TRUE,25420+((J92-75000)/100*'Simulazione 6.3'!$L$17),0)</f>
        <v>0</v>
      </c>
      <c r="K107" s="105">
        <f>IF(K106=TRUE,25420+((K92-75000)/100*'Simulazione 6.3'!$L$17),0)</f>
        <v>0</v>
      </c>
      <c r="L107" s="105">
        <f>IF(L106=TRUE,25420+((L92-75000)/100*'Simulazione 6.3'!$L$17),0)</f>
        <v>0</v>
      </c>
      <c r="M107" s="105">
        <f>IF(M106=TRUE,25420+((M92-75000)/100*'Simulazione 6.3'!$L$17),0)</f>
        <v>0</v>
      </c>
      <c r="N107" s="105">
        <f>IF(N106=TRUE,25420+((N92-75000)/100*'Simulazione 6.3'!$L$17),0)</f>
        <v>0</v>
      </c>
      <c r="O107" s="105">
        <f>IF(O106=TRUE,25420+((O92-75000)/100*'Simulazione 6.3'!$L$17),0)</f>
        <v>0</v>
      </c>
      <c r="P107" s="105">
        <f>IF(P106=TRUE,25420+((P92-75000)/100*'Simulazione 6.3'!$L$17),0)</f>
        <v>0</v>
      </c>
      <c r="Q107" s="105">
        <f>IF(Q106=TRUE,25420+((Q92-75000)/100*'Simulazione 6.3'!$L$17),0)</f>
        <v>0</v>
      </c>
      <c r="R107" s="105">
        <f>IF(R106=TRUE,25420+((R92-75000)/100*'Simulazione 6.3'!$L$17),0)</f>
        <v>0</v>
      </c>
      <c r="S107" s="105">
        <f>IF(S106=TRUE,25420+((S92-75000)/100*'Simulazione 6.3'!$L$17),0)</f>
        <v>0</v>
      </c>
      <c r="T107" s="105">
        <f>IF(T106=TRUE,25420+((T92-75000)/100*'Simulazione 6.3'!$L$17),0)</f>
        <v>0</v>
      </c>
      <c r="U107" s="105">
        <f>IF(U106=TRUE,25420+((U92-75000)/100*'Simulazione 6.3'!$L$17),0)</f>
        <v>0</v>
      </c>
      <c r="V107" s="105">
        <f>IF(V106=TRUE,25420+((V92-75000)/100*'Simulazione 6.3'!$L$17),0)</f>
        <v>0</v>
      </c>
      <c r="W107" s="105">
        <f>IF(W106=TRUE,25420+((W92-75000)/100*'Simulazione 6.3'!$L$17),0)</f>
        <v>0</v>
      </c>
      <c r="X107" s="105">
        <f>IF(X106=TRUE,25420+((X92-75000)/100*'Simulazione 6.3'!$L$17),0)</f>
        <v>0</v>
      </c>
      <c r="Y107" s="105">
        <f>IF(Y106=TRUE,25420+((Y92-75000)/100*'Simulazione 6.3'!$L$17),0)</f>
        <v>0</v>
      </c>
      <c r="Z107" s="105">
        <f>IF(Z106=TRUE,25420+((Z92-75000)/100*'Simulazione 6.3'!$L$17),0)</f>
        <v>0</v>
      </c>
      <c r="AA107" s="105">
        <f>IF(AA106=TRUE,25420+((AA92-75000)/100*'Simulazione 6.3'!$L$17),0)</f>
        <v>0</v>
      </c>
      <c r="AB107" s="105">
        <f>IF(AB106=TRUE,25420+((AB92-75000)/100*'Simulazione 6.3'!$L$17),0)</f>
        <v>0</v>
      </c>
    </row>
    <row r="108" spans="3:28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</row>
    <row r="109" spans="3:28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</row>
    <row r="110" spans="3:28">
      <c r="D110" s="105">
        <f>D95+D98+D101+D104+D107</f>
        <v>138.66125</v>
      </c>
      <c r="E110" s="105">
        <f t="shared" ref="E110:W110" si="56">E95+E98+E101+E104+E107</f>
        <v>80.212867999999986</v>
      </c>
      <c r="F110" s="105">
        <f t="shared" si="56"/>
        <v>82.027385701999933</v>
      </c>
      <c r="G110" s="105">
        <f t="shared" si="56"/>
        <v>84.08840222649313</v>
      </c>
      <c r="H110" s="105">
        <f t="shared" si="56"/>
        <v>86.410361960222374</v>
      </c>
      <c r="I110" s="105">
        <f t="shared" si="56"/>
        <v>89.008606050192597</v>
      </c>
      <c r="J110" s="105">
        <f t="shared" si="56"/>
        <v>91.899427032958059</v>
      </c>
      <c r="K110" s="105">
        <f t="shared" si="56"/>
        <v>95.100126789876924</v>
      </c>
      <c r="L110" s="105">
        <f t="shared" si="56"/>
        <v>98.629078030620505</v>
      </c>
      <c r="M110" s="105">
        <f t="shared" si="56"/>
        <v>102.50578951952473</v>
      </c>
      <c r="N110" s="105">
        <f t="shared" si="56"/>
        <v>106.7509752724215</v>
      </c>
      <c r="O110" s="105">
        <f t="shared" si="56"/>
        <v>159.68662796542773</v>
      </c>
      <c r="P110" s="105">
        <f t="shared" si="56"/>
        <v>240.63609681185474</v>
      </c>
      <c r="Q110" s="105">
        <f t="shared" si="56"/>
        <v>246.12417017897644</v>
      </c>
      <c r="R110" s="105">
        <f t="shared" si="56"/>
        <v>252.07716323291805</v>
      </c>
      <c r="S110" s="105">
        <f t="shared" si="56"/>
        <v>258.52301091745602</v>
      </c>
      <c r="T110" s="105">
        <f t="shared" si="56"/>
        <v>265.49136659111184</v>
      </c>
      <c r="U110" s="105">
        <f t="shared" si="56"/>
        <v>273.01370666664968</v>
      </c>
      <c r="V110" s="105">
        <f t="shared" si="56"/>
        <v>281.12344161800775</v>
      </c>
      <c r="W110" s="105">
        <f t="shared" si="56"/>
        <v>289.85603374189316</v>
      </c>
      <c r="X110" s="105">
        <f t="shared" ref="X110:AB110" si="57">X95+X98+X101+X104+X107</f>
        <v>243.3948474777558</v>
      </c>
      <c r="Y110" s="105">
        <f t="shared" si="57"/>
        <v>251.82679008213208</v>
      </c>
      <c r="Z110" s="105">
        <f t="shared" si="57"/>
        <v>260.55416373781202</v>
      </c>
      <c r="AA110" s="105">
        <f t="shared" si="57"/>
        <v>269.5882746930659</v>
      </c>
      <c r="AB110" s="105">
        <f t="shared" si="57"/>
        <v>278.94091267745506</v>
      </c>
    </row>
    <row r="111" spans="3:28">
      <c r="D111" s="105">
        <f t="shared" ref="D111:AB111" si="58">IF(D110&gt;0,D110,0)</f>
        <v>138.66125</v>
      </c>
      <c r="E111" s="105">
        <f t="shared" si="58"/>
        <v>80.212867999999986</v>
      </c>
      <c r="F111" s="105">
        <f t="shared" si="58"/>
        <v>82.027385701999933</v>
      </c>
      <c r="G111" s="105">
        <f t="shared" si="58"/>
        <v>84.08840222649313</v>
      </c>
      <c r="H111" s="105">
        <f t="shared" si="58"/>
        <v>86.410361960222374</v>
      </c>
      <c r="I111" s="105">
        <f t="shared" si="58"/>
        <v>89.008606050192597</v>
      </c>
      <c r="J111" s="105">
        <f t="shared" si="58"/>
        <v>91.899427032958059</v>
      </c>
      <c r="K111" s="105">
        <f t="shared" si="58"/>
        <v>95.100126789876924</v>
      </c>
      <c r="L111" s="105">
        <f t="shared" si="58"/>
        <v>98.629078030620505</v>
      </c>
      <c r="M111" s="105">
        <f t="shared" si="58"/>
        <v>102.50578951952473</v>
      </c>
      <c r="N111" s="105">
        <f t="shared" si="58"/>
        <v>106.7509752724215</v>
      </c>
      <c r="O111" s="105">
        <f t="shared" si="58"/>
        <v>159.68662796542773</v>
      </c>
      <c r="P111" s="105">
        <f t="shared" si="58"/>
        <v>240.63609681185474</v>
      </c>
      <c r="Q111" s="105">
        <f t="shared" si="58"/>
        <v>246.12417017897644</v>
      </c>
      <c r="R111" s="105">
        <f t="shared" si="58"/>
        <v>252.07716323291805</v>
      </c>
      <c r="S111" s="105">
        <f t="shared" si="58"/>
        <v>258.52301091745602</v>
      </c>
      <c r="T111" s="105">
        <f t="shared" si="58"/>
        <v>265.49136659111184</v>
      </c>
      <c r="U111" s="105">
        <f t="shared" si="58"/>
        <v>273.01370666664968</v>
      </c>
      <c r="V111" s="105">
        <f t="shared" si="58"/>
        <v>281.12344161800775</v>
      </c>
      <c r="W111" s="105">
        <f t="shared" si="58"/>
        <v>289.85603374189316</v>
      </c>
      <c r="X111" s="105">
        <f t="shared" si="58"/>
        <v>243.3948474777558</v>
      </c>
      <c r="Y111" s="105">
        <f t="shared" si="58"/>
        <v>251.82679008213208</v>
      </c>
      <c r="Z111" s="105">
        <f t="shared" si="58"/>
        <v>260.55416373781202</v>
      </c>
      <c r="AA111" s="105">
        <f t="shared" si="58"/>
        <v>269.5882746930659</v>
      </c>
      <c r="AB111" s="105">
        <f t="shared" si="58"/>
        <v>278.94091267745506</v>
      </c>
    </row>
    <row r="114" spans="3:22">
      <c r="C114" s="105">
        <f>'Simulazione 6.3'!E81</f>
        <v>-5607.7862499999992</v>
      </c>
      <c r="D114" s="105">
        <f>'Simulazione 6.3'!F81</f>
        <v>-4849.2475179999992</v>
      </c>
      <c r="E114" s="105">
        <f>'Simulazione 6.3'!G81</f>
        <v>-4084.6340963019998</v>
      </c>
      <c r="F114" s="105">
        <f>'Simulazione 6.3'!H81</f>
        <v>-3313.1207497176529</v>
      </c>
      <c r="G114" s="105">
        <f>'Simulazione 6.3'!I81</f>
        <v>-2533.8338857638646</v>
      </c>
      <c r="H114" s="105">
        <f>'Simulazione 6.3'!J81</f>
        <v>-1745.8485524653936</v>
      </c>
      <c r="I114" s="105">
        <f>'Simulazione 6.3'!K81</f>
        <v>-948.18525326809913</v>
      </c>
      <c r="J114" s="105">
        <f>'Simulazione 6.3'!L81</f>
        <v>-139.80656792807636</v>
      </c>
      <c r="K114" s="105">
        <f>'Simulazione 6.3'!M81</f>
        <v>680.38643243530544</v>
      </c>
      <c r="L114" s="105">
        <f>'Simulazione 6.3'!N81</f>
        <v>1513.5579886528446</v>
      </c>
      <c r="M114" s="105">
        <f>'Simulazione 6.3'!O81</f>
        <v>2360.941688477908</v>
      </c>
      <c r="N114" s="105">
        <f>'Simulazione 6.3'!P81</f>
        <v>3175.5447473186878</v>
      </c>
      <c r="O114" s="105">
        <f>'Simulazione 6.3'!Q81</f>
        <v>3931.1525496888107</v>
      </c>
      <c r="P114" s="105">
        <f>'Simulazione 6.3'!R81</f>
        <v>4705.1334672445146</v>
      </c>
      <c r="Q114" s="105">
        <f>'Simulazione 6.3'!S81</f>
        <v>5499.0439702416752</v>
      </c>
      <c r="R114" s="105">
        <f>'Simulazione 6.3'!T81</f>
        <v>6314.5340502696799</v>
      </c>
      <c r="S114" s="105">
        <f>'Simulazione 6.3'!U81</f>
        <v>7153.3529732051411</v>
      </c>
      <c r="T114" s="105">
        <f>'Simulazione 6.3'!V81</f>
        <v>8017.3553824804467</v>
      </c>
      <c r="U114" s="105">
        <f>'Simulazione 6.3'!W81</f>
        <v>8908.5077739842127</v>
      </c>
      <c r="V114" s="105">
        <f>'Simulazione 6.3'!X81</f>
        <v>9828.8953652070722</v>
      </c>
    </row>
    <row r="117" spans="3:22">
      <c r="C117" s="6" t="s">
        <v>89</v>
      </c>
      <c r="D117" s="6" t="b">
        <f>AND(D76&gt;1,D76&lt;4)</f>
        <v>1</v>
      </c>
    </row>
    <row r="119" spans="3:22">
      <c r="D119" s="218" t="s">
        <v>127</v>
      </c>
      <c r="E119" s="218"/>
      <c r="F119" s="218"/>
    </row>
    <row r="120" spans="3:22" ht="15.75" thickBot="1"/>
    <row r="121" spans="3:22">
      <c r="D121" s="23"/>
      <c r="E121" s="15"/>
      <c r="F121" s="219" t="s">
        <v>4</v>
      </c>
      <c r="G121" s="220"/>
      <c r="H121" s="114"/>
      <c r="I121" s="114"/>
      <c r="J121" s="115"/>
      <c r="K121" s="15"/>
      <c r="L121" s="219" t="s">
        <v>5</v>
      </c>
      <c r="M121" s="220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4"/>
      <c r="I122" s="114"/>
      <c r="J122" s="116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6.3'!$C$3&lt;=3,'Simulazione 6.3'!$C$3&gt;=1)</f>
        <v>1</v>
      </c>
      <c r="E123" s="28" t="s">
        <v>6</v>
      </c>
      <c r="F123" s="5">
        <v>208</v>
      </c>
      <c r="G123" s="26">
        <f t="shared" ref="G123:G128" si="59">F123-82</f>
        <v>126</v>
      </c>
      <c r="H123" s="114">
        <f t="shared" ref="H123:H128" si="60">IF(D123=TRUE,(F123+L123)/2,0)</f>
        <v>204.5</v>
      </c>
      <c r="I123" s="114">
        <f t="shared" ref="I123:I128" si="61">IF(D123=TRUE,(G123+M123)/2,0)</f>
        <v>122.5</v>
      </c>
      <c r="J123" s="22"/>
      <c r="K123" s="28" t="s">
        <v>6</v>
      </c>
      <c r="L123" s="5">
        <v>201</v>
      </c>
      <c r="M123" s="26">
        <f t="shared" ref="M123:M128" si="62">L123-82</f>
        <v>119</v>
      </c>
      <c r="N123" s="5"/>
      <c r="O123" s="5"/>
    </row>
    <row r="124" spans="3:22">
      <c r="D124" s="22" t="b">
        <f>AND($D$1=1,$D$7=1,'Simulazione 6.3'!$C$3&lt;=20,'Simulazione 6.3'!$C$3&gt;3)</f>
        <v>0</v>
      </c>
      <c r="E124" s="28" t="s">
        <v>7</v>
      </c>
      <c r="F124" s="5">
        <v>196</v>
      </c>
      <c r="G124" s="26">
        <f t="shared" si="59"/>
        <v>114</v>
      </c>
      <c r="H124" s="114">
        <f t="shared" si="60"/>
        <v>0</v>
      </c>
      <c r="I124" s="114">
        <f t="shared" si="61"/>
        <v>0</v>
      </c>
      <c r="J124" s="22"/>
      <c r="K124" s="28" t="s">
        <v>7</v>
      </c>
      <c r="L124" s="5">
        <v>189</v>
      </c>
      <c r="M124" s="26">
        <f t="shared" si="62"/>
        <v>107</v>
      </c>
      <c r="N124" s="5"/>
      <c r="O124" s="5"/>
    </row>
    <row r="125" spans="3:22">
      <c r="D125" s="22" t="b">
        <f>AND($D$1=1,$D$7=1,'Simulazione 6.3'!$C$3&lt;=200,'Simulazione 6.3'!$C$3&gt;20)</f>
        <v>0</v>
      </c>
      <c r="E125" s="28" t="s">
        <v>8</v>
      </c>
      <c r="F125" s="5">
        <v>175</v>
      </c>
      <c r="G125" s="26">
        <f t="shared" si="59"/>
        <v>93</v>
      </c>
      <c r="H125" s="114">
        <f t="shared" si="60"/>
        <v>0</v>
      </c>
      <c r="I125" s="114">
        <f t="shared" si="61"/>
        <v>0</v>
      </c>
      <c r="J125" s="22"/>
      <c r="K125" s="28" t="s">
        <v>8</v>
      </c>
      <c r="L125" s="5">
        <v>168</v>
      </c>
      <c r="M125" s="26">
        <f t="shared" si="62"/>
        <v>86</v>
      </c>
      <c r="N125" s="5"/>
      <c r="O125" s="5"/>
    </row>
    <row r="126" spans="3:22">
      <c r="D126" s="22" t="b">
        <f>AND($D$1=1,$D$7=1,'Simulazione 6.3'!$C$3&lt;=1000,'Simulazione 6.3'!$C$3&gt;200)</f>
        <v>0</v>
      </c>
      <c r="E126" s="28" t="s">
        <v>9</v>
      </c>
      <c r="F126" s="5">
        <v>142</v>
      </c>
      <c r="G126" s="26">
        <f t="shared" si="59"/>
        <v>60</v>
      </c>
      <c r="H126" s="114">
        <f t="shared" si="60"/>
        <v>0</v>
      </c>
      <c r="I126" s="114">
        <f t="shared" si="61"/>
        <v>0</v>
      </c>
      <c r="J126" s="22"/>
      <c r="K126" s="28" t="s">
        <v>9</v>
      </c>
      <c r="L126" s="5">
        <v>135</v>
      </c>
      <c r="M126" s="26">
        <f t="shared" si="62"/>
        <v>53</v>
      </c>
      <c r="N126" s="5"/>
      <c r="O126" s="5"/>
    </row>
    <row r="127" spans="3:22">
      <c r="D127" s="22" t="b">
        <f>AND($D$1=1,$D$7=1,'Simulazione 6.3'!$C$3&lt;=5000,'Simulazione 6.3'!$C$3&gt;1000)</f>
        <v>0</v>
      </c>
      <c r="E127" s="28" t="s">
        <v>10</v>
      </c>
      <c r="F127" s="5">
        <v>126</v>
      </c>
      <c r="G127" s="26">
        <f t="shared" si="59"/>
        <v>44</v>
      </c>
      <c r="H127" s="114">
        <f t="shared" si="60"/>
        <v>0</v>
      </c>
      <c r="I127" s="114">
        <f t="shared" si="61"/>
        <v>0</v>
      </c>
      <c r="J127" s="22"/>
      <c r="K127" s="28" t="s">
        <v>10</v>
      </c>
      <c r="L127" s="5">
        <v>120</v>
      </c>
      <c r="M127" s="26">
        <f t="shared" si="62"/>
        <v>38</v>
      </c>
      <c r="N127" s="5"/>
      <c r="O127" s="5"/>
    </row>
    <row r="128" spans="3:22" ht="15.75" thickBot="1">
      <c r="D128" s="29" t="b">
        <f>AND($D$1=1,$D$7=1,'Simulazione 6.3'!$C$3&gt;=5000)</f>
        <v>0</v>
      </c>
      <c r="E128" s="35" t="s">
        <v>11</v>
      </c>
      <c r="F128" s="36">
        <v>119</v>
      </c>
      <c r="G128" s="37">
        <f t="shared" si="59"/>
        <v>37</v>
      </c>
      <c r="H128" s="114">
        <f t="shared" si="60"/>
        <v>0</v>
      </c>
      <c r="I128" s="114">
        <f t="shared" si="61"/>
        <v>0</v>
      </c>
      <c r="J128" s="29"/>
      <c r="K128" s="35" t="s">
        <v>11</v>
      </c>
      <c r="L128" s="36">
        <v>113</v>
      </c>
      <c r="M128" s="37">
        <f t="shared" si="62"/>
        <v>31</v>
      </c>
      <c r="N128" s="5"/>
      <c r="O128" s="5"/>
    </row>
    <row r="129" spans="4:15" ht="15.75" thickBot="1">
      <c r="F129" s="114"/>
      <c r="G129" s="114"/>
      <c r="H129" s="42">
        <f>IF($H$9=3,H123+H124+H125+H126+H127+H128,0)</f>
        <v>0</v>
      </c>
      <c r="I129" s="42">
        <f>IF($H$9=3,I123+I124+I125+I126+I127+I128,0)</f>
        <v>0</v>
      </c>
      <c r="K129" s="114"/>
      <c r="L129" s="114"/>
      <c r="M129" s="114"/>
      <c r="N129" s="5"/>
      <c r="O129" s="5"/>
    </row>
    <row r="130" spans="4:15">
      <c r="F130" s="114"/>
      <c r="G130" s="114"/>
      <c r="H130" s="5"/>
      <c r="I130" s="5"/>
      <c r="K130" s="114"/>
      <c r="L130" s="114"/>
      <c r="M130" s="114"/>
      <c r="N130" s="5"/>
      <c r="O130" s="5"/>
    </row>
    <row r="131" spans="4:15" ht="15.75" thickBot="1">
      <c r="F131" s="221"/>
      <c r="G131" s="221"/>
      <c r="H131" s="114"/>
      <c r="I131" s="114"/>
      <c r="K131" s="114"/>
      <c r="L131" s="221"/>
      <c r="M131" s="221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6.3'!$C$3&lt;=3,'Simulazione 6.3'!$C$3&gt;=1)</f>
        <v>0</v>
      </c>
      <c r="E133" s="28" t="s">
        <v>6</v>
      </c>
      <c r="F133" s="51">
        <v>182</v>
      </c>
      <c r="G133" s="52">
        <f t="shared" ref="G133:G138" si="63">F133-82</f>
        <v>100</v>
      </c>
      <c r="H133" s="114">
        <f t="shared" ref="H133:H138" si="64">IF(D133=TRUE,(F133+L133)/2,0)</f>
        <v>0</v>
      </c>
      <c r="I133" s="114">
        <f t="shared" ref="I133:I138" si="65">IF(D133=TRUE,(G133+M133)/2,0)</f>
        <v>0</v>
      </c>
      <c r="J133" s="22"/>
      <c r="K133" s="28" t="s">
        <v>6</v>
      </c>
      <c r="L133" s="51">
        <v>176</v>
      </c>
      <c r="M133" s="52">
        <f t="shared" ref="M133:M138" si="66">L133-82</f>
        <v>94</v>
      </c>
      <c r="N133" s="5"/>
      <c r="O133" s="5"/>
    </row>
    <row r="134" spans="4:15" ht="15.75">
      <c r="D134" s="22" t="b">
        <f>AND($D$1=2,$D$7=1,'Simulazione 6.3'!$C$3&lt;=20,'Simulazione 6.3'!$C$3&gt;3)</f>
        <v>0</v>
      </c>
      <c r="E134" s="28" t="s">
        <v>7</v>
      </c>
      <c r="F134" s="51">
        <v>171</v>
      </c>
      <c r="G134" s="52">
        <f t="shared" si="63"/>
        <v>89</v>
      </c>
      <c r="H134" s="114">
        <f t="shared" si="64"/>
        <v>0</v>
      </c>
      <c r="I134" s="114">
        <f t="shared" si="65"/>
        <v>0</v>
      </c>
      <c r="J134" s="22"/>
      <c r="K134" s="28" t="s">
        <v>7</v>
      </c>
      <c r="L134" s="51">
        <v>165</v>
      </c>
      <c r="M134" s="52">
        <f t="shared" si="66"/>
        <v>83</v>
      </c>
      <c r="N134" s="5"/>
      <c r="O134" s="5"/>
    </row>
    <row r="135" spans="4:15" ht="15.75">
      <c r="D135" s="22" t="b">
        <f>AND($D$1=2,$D$7=1,'Simulazione 6.3'!$C$3&lt;=200,'Simulazione 6.3'!$C$3&gt;20)</f>
        <v>0</v>
      </c>
      <c r="E135" s="28" t="s">
        <v>8</v>
      </c>
      <c r="F135" s="51">
        <v>157</v>
      </c>
      <c r="G135" s="52">
        <f t="shared" si="63"/>
        <v>75</v>
      </c>
      <c r="H135" s="114">
        <f t="shared" si="64"/>
        <v>0</v>
      </c>
      <c r="I135" s="114">
        <f t="shared" si="65"/>
        <v>0</v>
      </c>
      <c r="J135" s="22"/>
      <c r="K135" s="28" t="s">
        <v>8</v>
      </c>
      <c r="L135" s="51">
        <v>151</v>
      </c>
      <c r="M135" s="52">
        <f t="shared" si="66"/>
        <v>69</v>
      </c>
      <c r="N135" s="5"/>
      <c r="O135" s="5"/>
    </row>
    <row r="136" spans="4:15" ht="15.75">
      <c r="D136" s="22" t="b">
        <f>AND($D$1=2,$D$7=1,'Simulazione 6.3'!$C$3&lt;=1000,'Simulazione 6.3'!$C$3&gt;200)</f>
        <v>0</v>
      </c>
      <c r="E136" s="28" t="s">
        <v>9</v>
      </c>
      <c r="F136" s="47">
        <v>130</v>
      </c>
      <c r="G136" s="48">
        <f t="shared" si="63"/>
        <v>48</v>
      </c>
      <c r="H136" s="114">
        <f t="shared" si="64"/>
        <v>0</v>
      </c>
      <c r="I136" s="114">
        <f t="shared" si="65"/>
        <v>0</v>
      </c>
      <c r="J136" s="22"/>
      <c r="K136" s="28" t="s">
        <v>9</v>
      </c>
      <c r="L136" s="47">
        <v>124</v>
      </c>
      <c r="M136" s="48">
        <f t="shared" si="66"/>
        <v>42</v>
      </c>
      <c r="N136" s="5"/>
      <c r="O136" s="5"/>
    </row>
    <row r="137" spans="4:15" ht="15.75">
      <c r="D137" s="22" t="b">
        <f>AND($D$1=2,$D$7=1,'Simulazione 6.3'!$C$3&lt;=5000,'Simulazione 6.3'!$C$3&gt;1000)</f>
        <v>0</v>
      </c>
      <c r="E137" s="28" t="s">
        <v>10</v>
      </c>
      <c r="F137" s="51">
        <v>118</v>
      </c>
      <c r="G137" s="52">
        <f t="shared" si="63"/>
        <v>36</v>
      </c>
      <c r="H137" s="114">
        <f t="shared" si="64"/>
        <v>0</v>
      </c>
      <c r="I137" s="114">
        <f t="shared" si="65"/>
        <v>0</v>
      </c>
      <c r="J137" s="22"/>
      <c r="K137" s="28" t="s">
        <v>10</v>
      </c>
      <c r="L137" s="51">
        <v>113</v>
      </c>
      <c r="M137" s="52">
        <f t="shared" si="66"/>
        <v>31</v>
      </c>
      <c r="N137" s="5"/>
      <c r="O137" s="5"/>
    </row>
    <row r="138" spans="4:15" ht="16.5" thickBot="1">
      <c r="D138" s="29" t="b">
        <f>AND($D$1=2,$D$7=1,'Simulazione 6.3'!$C$3&gt;=5000)</f>
        <v>0</v>
      </c>
      <c r="E138" s="35" t="s">
        <v>11</v>
      </c>
      <c r="F138" s="57">
        <v>112</v>
      </c>
      <c r="G138" s="58">
        <f t="shared" si="63"/>
        <v>30</v>
      </c>
      <c r="H138" s="114">
        <f t="shared" si="64"/>
        <v>0</v>
      </c>
      <c r="I138" s="114">
        <f t="shared" si="65"/>
        <v>0</v>
      </c>
      <c r="J138" s="29"/>
      <c r="K138" s="35" t="s">
        <v>11</v>
      </c>
      <c r="L138" s="57">
        <v>106</v>
      </c>
      <c r="M138" s="58">
        <f t="shared" si="66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6.3'!$C$3&lt;=3,'Simulazione 6.3'!$C$3&gt;=1)</f>
        <v>0</v>
      </c>
      <c r="E143" s="28" t="s">
        <v>6</v>
      </c>
      <c r="F143" s="51">
        <v>157</v>
      </c>
      <c r="G143" s="52">
        <f t="shared" ref="G143:G148" si="67">F143-82</f>
        <v>75</v>
      </c>
      <c r="H143" s="114">
        <f t="shared" ref="H143:H148" si="68">IF(D143=TRUE,(F143+L143)/2,0)</f>
        <v>0</v>
      </c>
      <c r="I143" s="114">
        <f t="shared" ref="I143:I148" si="69">IF(D143=TRUE,(G143+M143)/2,0)</f>
        <v>0</v>
      </c>
      <c r="J143" s="22"/>
      <c r="K143" s="28" t="s">
        <v>6</v>
      </c>
      <c r="L143" s="51">
        <v>152</v>
      </c>
      <c r="M143" s="52">
        <f t="shared" ref="M143:M148" si="70">L143-82</f>
        <v>70</v>
      </c>
      <c r="N143" s="5"/>
      <c r="O143" s="5"/>
    </row>
    <row r="144" spans="4:15" ht="15.75">
      <c r="D144" s="22" t="b">
        <f>AND($D$1=3,$D$7=1,'Simulazione 6.3'!$C$3&lt;=20,'Simulazione 6.3'!$C$3&gt;3)</f>
        <v>0</v>
      </c>
      <c r="E144" s="28" t="s">
        <v>7</v>
      </c>
      <c r="F144" s="51">
        <v>149</v>
      </c>
      <c r="G144" s="52">
        <f t="shared" si="67"/>
        <v>67</v>
      </c>
      <c r="H144" s="114">
        <f t="shared" si="68"/>
        <v>0</v>
      </c>
      <c r="I144" s="114">
        <f t="shared" si="69"/>
        <v>0</v>
      </c>
      <c r="J144" s="22"/>
      <c r="K144" s="28" t="s">
        <v>7</v>
      </c>
      <c r="L144" s="51">
        <v>144</v>
      </c>
      <c r="M144" s="52">
        <f t="shared" si="70"/>
        <v>62</v>
      </c>
      <c r="N144" s="5"/>
      <c r="O144" s="5"/>
    </row>
    <row r="145" spans="4:15" ht="15.75">
      <c r="D145" s="22" t="b">
        <f>AND($D$1=3,$D$7=1,'Simulazione 6.3'!$C$3&lt;=200,'Simulazione 6.3'!$C$3&gt;20)</f>
        <v>0</v>
      </c>
      <c r="E145" s="28" t="s">
        <v>8</v>
      </c>
      <c r="F145" s="51">
        <v>141</v>
      </c>
      <c r="G145" s="52">
        <f t="shared" si="67"/>
        <v>59</v>
      </c>
      <c r="H145" s="114">
        <f t="shared" si="68"/>
        <v>0</v>
      </c>
      <c r="I145" s="114">
        <f t="shared" si="69"/>
        <v>0</v>
      </c>
      <c r="J145" s="22"/>
      <c r="K145" s="28" t="s">
        <v>8</v>
      </c>
      <c r="L145" s="51">
        <v>136</v>
      </c>
      <c r="M145" s="52">
        <f t="shared" si="70"/>
        <v>54</v>
      </c>
      <c r="N145" s="5"/>
      <c r="O145" s="5"/>
    </row>
    <row r="146" spans="4:15" ht="15.75">
      <c r="D146" s="22" t="b">
        <f>AND($D$1=3,$D$7=1,'Simulazione 6.3'!$C$3&lt;=1000,'Simulazione 6.3'!$C$3&gt;200)</f>
        <v>0</v>
      </c>
      <c r="E146" s="28" t="s">
        <v>9</v>
      </c>
      <c r="F146" s="47">
        <v>118</v>
      </c>
      <c r="G146" s="48">
        <f t="shared" si="67"/>
        <v>36</v>
      </c>
      <c r="H146" s="114">
        <f t="shared" si="68"/>
        <v>0</v>
      </c>
      <c r="I146" s="114">
        <f t="shared" si="69"/>
        <v>0</v>
      </c>
      <c r="J146" s="22"/>
      <c r="K146" s="28" t="s">
        <v>9</v>
      </c>
      <c r="L146" s="47">
        <v>113</v>
      </c>
      <c r="M146" s="48">
        <f t="shared" si="70"/>
        <v>31</v>
      </c>
      <c r="N146" s="5"/>
      <c r="O146" s="5"/>
    </row>
    <row r="147" spans="4:15" ht="15.75">
      <c r="D147" s="22" t="b">
        <f>AND($D$1=3,$D$7=1,'Simulazione 6.3'!$C$3&lt;=5000,'Simulazione 6.3'!$C$3&gt;1000)</f>
        <v>0</v>
      </c>
      <c r="E147" s="28" t="s">
        <v>10</v>
      </c>
      <c r="F147" s="51">
        <v>110</v>
      </c>
      <c r="G147" s="52">
        <f t="shared" si="67"/>
        <v>28</v>
      </c>
      <c r="H147" s="114">
        <f t="shared" si="68"/>
        <v>0</v>
      </c>
      <c r="I147" s="114">
        <f t="shared" si="69"/>
        <v>0</v>
      </c>
      <c r="J147" s="22"/>
      <c r="K147" s="28" t="s">
        <v>10</v>
      </c>
      <c r="L147" s="51">
        <v>106</v>
      </c>
      <c r="M147" s="52">
        <f t="shared" si="70"/>
        <v>24</v>
      </c>
      <c r="N147" s="5"/>
      <c r="O147" s="5"/>
    </row>
    <row r="148" spans="4:15" ht="16.5" thickBot="1">
      <c r="D148" s="29" t="b">
        <f>AND($D$1=3,$D$7=1,'Simulazione 6.3'!$C$3&gt;=5000)</f>
        <v>0</v>
      </c>
      <c r="E148" s="35" t="s">
        <v>11</v>
      </c>
      <c r="F148" s="57">
        <v>104</v>
      </c>
      <c r="G148" s="58">
        <f t="shared" si="67"/>
        <v>22</v>
      </c>
      <c r="H148" s="114">
        <f t="shared" si="68"/>
        <v>0</v>
      </c>
      <c r="I148" s="114">
        <f t="shared" si="69"/>
        <v>0</v>
      </c>
      <c r="J148" s="29"/>
      <c r="K148" s="35" t="s">
        <v>11</v>
      </c>
      <c r="L148" s="57">
        <v>99</v>
      </c>
      <c r="M148" s="58">
        <f t="shared" si="70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6.3'!$C$3&lt;=3,'Simulazione 6.3'!$C$3&gt;=1)</f>
        <v>0</v>
      </c>
      <c r="E155" s="28" t="s">
        <v>6</v>
      </c>
      <c r="F155" s="51">
        <v>144</v>
      </c>
      <c r="G155" s="52">
        <f t="shared" ref="G155:G160" si="71">F155-82</f>
        <v>62</v>
      </c>
      <c r="H155" s="114">
        <f t="shared" ref="H155:H160" si="72">IF(D155=TRUE,(F155+L155)/2,0)</f>
        <v>0</v>
      </c>
      <c r="I155" s="114">
        <f t="shared" ref="I155:I160" si="73">IF(D155=TRUE,(G155+M155)/2,0)</f>
        <v>0</v>
      </c>
      <c r="J155" s="22"/>
      <c r="K155" s="28" t="s">
        <v>6</v>
      </c>
      <c r="L155" s="51">
        <v>140</v>
      </c>
      <c r="M155" s="52">
        <f t="shared" ref="M155:M160" si="74">L155-82</f>
        <v>58</v>
      </c>
      <c r="N155" s="5"/>
      <c r="O155" s="5"/>
    </row>
    <row r="156" spans="4:15" ht="15.75">
      <c r="D156" s="22" t="b">
        <f>AND($D$1=4,$D$7=1,'Simulazione 6.3'!$C$3&lt;=20,'Simulazione 6.3'!$C$3&gt;3)</f>
        <v>0</v>
      </c>
      <c r="E156" s="28" t="s">
        <v>7</v>
      </c>
      <c r="F156" s="51">
        <v>137</v>
      </c>
      <c r="G156" s="52">
        <f t="shared" si="71"/>
        <v>55</v>
      </c>
      <c r="H156" s="114">
        <f t="shared" si="72"/>
        <v>0</v>
      </c>
      <c r="I156" s="114">
        <f t="shared" si="73"/>
        <v>0</v>
      </c>
      <c r="J156" s="22"/>
      <c r="K156" s="28" t="s">
        <v>7</v>
      </c>
      <c r="L156" s="51">
        <v>133</v>
      </c>
      <c r="M156" s="52">
        <f t="shared" si="74"/>
        <v>51</v>
      </c>
      <c r="N156" s="5"/>
      <c r="O156" s="5"/>
    </row>
    <row r="157" spans="4:15" ht="15.75">
      <c r="D157" s="22" t="b">
        <f>AND($D$1=4,$D$7=1,'Simulazione 6.3'!$C$3&lt;=200,'Simulazione 6.3'!$C$3&gt;20)</f>
        <v>0</v>
      </c>
      <c r="E157" s="28" t="s">
        <v>8</v>
      </c>
      <c r="F157" s="51">
        <v>131</v>
      </c>
      <c r="G157" s="52">
        <f t="shared" si="71"/>
        <v>49</v>
      </c>
      <c r="H157" s="114">
        <f t="shared" si="72"/>
        <v>0</v>
      </c>
      <c r="I157" s="114">
        <f t="shared" si="73"/>
        <v>0</v>
      </c>
      <c r="J157" s="22"/>
      <c r="K157" s="28" t="s">
        <v>8</v>
      </c>
      <c r="L157" s="51">
        <v>126</v>
      </c>
      <c r="M157" s="52">
        <f t="shared" si="74"/>
        <v>44</v>
      </c>
      <c r="N157" s="5"/>
      <c r="O157" s="5"/>
    </row>
    <row r="158" spans="4:15" ht="15.75">
      <c r="D158" s="22" t="b">
        <f>AND($D$1=4,$D$7=1,'Simulazione 6.3'!$C$3&lt;=1000,'Simulazione 6.3'!$C$3&gt;200)</f>
        <v>0</v>
      </c>
      <c r="E158" s="28" t="s">
        <v>9</v>
      </c>
      <c r="F158" s="47">
        <v>111</v>
      </c>
      <c r="G158" s="48">
        <f t="shared" si="71"/>
        <v>29</v>
      </c>
      <c r="H158" s="114">
        <f t="shared" si="72"/>
        <v>0</v>
      </c>
      <c r="I158" s="114">
        <f t="shared" si="73"/>
        <v>0</v>
      </c>
      <c r="J158" s="22"/>
      <c r="K158" s="28" t="s">
        <v>9</v>
      </c>
      <c r="L158" s="47">
        <v>107</v>
      </c>
      <c r="M158" s="48">
        <f t="shared" si="74"/>
        <v>25</v>
      </c>
      <c r="N158" s="5"/>
      <c r="O158" s="5"/>
    </row>
    <row r="159" spans="4:15" ht="15.75">
      <c r="D159" s="22" t="b">
        <f>AND($D$1=4,$D$7=1,'Simulazione 6.3'!$C$3&lt;=5000,'Simulazione 6.3'!$C$3&gt;1000)</f>
        <v>0</v>
      </c>
      <c r="E159" s="28" t="s">
        <v>10</v>
      </c>
      <c r="F159" s="51">
        <v>105</v>
      </c>
      <c r="G159" s="52">
        <f t="shared" si="71"/>
        <v>23</v>
      </c>
      <c r="H159" s="114">
        <f t="shared" si="72"/>
        <v>0</v>
      </c>
      <c r="I159" s="114">
        <f t="shared" si="73"/>
        <v>0</v>
      </c>
      <c r="J159" s="22"/>
      <c r="K159" s="28" t="s">
        <v>10</v>
      </c>
      <c r="L159" s="51">
        <v>101</v>
      </c>
      <c r="M159" s="52">
        <f t="shared" si="74"/>
        <v>19</v>
      </c>
      <c r="N159" s="5"/>
      <c r="O159" s="5"/>
    </row>
    <row r="160" spans="4:15" ht="16.5" thickBot="1">
      <c r="D160" s="29" t="b">
        <f>AND($D$1=4,$D$7=1,'Simulazione 6.3'!$C$3&gt;=5000)</f>
        <v>0</v>
      </c>
      <c r="E160" s="35" t="s">
        <v>11</v>
      </c>
      <c r="F160" s="57">
        <v>99</v>
      </c>
      <c r="G160" s="58">
        <f t="shared" si="71"/>
        <v>17</v>
      </c>
      <c r="H160" s="114">
        <f t="shared" si="72"/>
        <v>0</v>
      </c>
      <c r="I160" s="114">
        <f t="shared" si="73"/>
        <v>0</v>
      </c>
      <c r="J160" s="29"/>
      <c r="K160" s="35" t="s">
        <v>11</v>
      </c>
      <c r="L160" s="57">
        <v>95</v>
      </c>
      <c r="M160" s="58">
        <f t="shared" si="74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6.3'!$C$3&lt;=3,'Simulazione 6.3'!$C$3&gt;=1)</f>
        <v>0</v>
      </c>
      <c r="E169" s="28" t="s">
        <v>6</v>
      </c>
      <c r="F169" s="51">
        <v>133</v>
      </c>
      <c r="G169" s="52">
        <f t="shared" ref="G169:G174" si="75">F169-82</f>
        <v>51</v>
      </c>
      <c r="H169" s="53">
        <f t="shared" ref="H169:H174" si="76">IF(D169=TRUE,F169,0)</f>
        <v>0</v>
      </c>
      <c r="I169" s="114">
        <f t="shared" ref="I169:I174" si="77">IF(D169=TRUE,(G169+M169)/2,0)</f>
        <v>0</v>
      </c>
      <c r="J169" s="22"/>
      <c r="K169" s="28" t="s">
        <v>6</v>
      </c>
      <c r="L169" s="51">
        <v>130</v>
      </c>
      <c r="M169" s="52">
        <f t="shared" ref="M169:M174" si="78">L169-82</f>
        <v>48</v>
      </c>
      <c r="N169" s="5"/>
      <c r="O169" s="5"/>
    </row>
    <row r="170" spans="4:15" ht="15.75">
      <c r="D170" s="22" t="b">
        <f>AND($D$1=5,$D$7=1,'Simulazione 6.3'!$C$3&lt;=20,'Simulazione 6.3'!$C$3&gt;3)</f>
        <v>0</v>
      </c>
      <c r="E170" s="28" t="s">
        <v>7</v>
      </c>
      <c r="F170" s="51">
        <v>128</v>
      </c>
      <c r="G170" s="52">
        <f t="shared" si="75"/>
        <v>46</v>
      </c>
      <c r="H170" s="53">
        <f t="shared" si="76"/>
        <v>0</v>
      </c>
      <c r="I170" s="114">
        <f t="shared" si="77"/>
        <v>0</v>
      </c>
      <c r="J170" s="22"/>
      <c r="K170" s="28" t="s">
        <v>7</v>
      </c>
      <c r="L170" s="51">
        <v>124</v>
      </c>
      <c r="M170" s="52">
        <f t="shared" si="78"/>
        <v>42</v>
      </c>
      <c r="N170" s="5"/>
      <c r="O170" s="5"/>
    </row>
    <row r="171" spans="4:15" ht="15.75">
      <c r="D171" s="22" t="b">
        <f>AND($D$1=5,$D$7=1,'Simulazione 6.3'!$C$3&lt;=200,'Simulazione 6.3'!$C$3&gt;20)</f>
        <v>0</v>
      </c>
      <c r="E171" s="28" t="s">
        <v>8</v>
      </c>
      <c r="F171" s="51">
        <v>122</v>
      </c>
      <c r="G171" s="52">
        <f t="shared" si="75"/>
        <v>40</v>
      </c>
      <c r="H171" s="53">
        <f t="shared" si="76"/>
        <v>0</v>
      </c>
      <c r="I171" s="114">
        <f t="shared" si="77"/>
        <v>0</v>
      </c>
      <c r="J171" s="22"/>
      <c r="K171" s="28" t="s">
        <v>8</v>
      </c>
      <c r="L171" s="51">
        <v>118</v>
      </c>
      <c r="M171" s="52">
        <f t="shared" si="78"/>
        <v>36</v>
      </c>
      <c r="N171" s="5"/>
      <c r="O171" s="5"/>
    </row>
    <row r="172" spans="4:15" ht="15.75">
      <c r="D172" s="22" t="b">
        <f>AND($D$1=5,$D$7=1,'Simulazione 6.3'!$C$3&lt;=1000,'Simulazione 6.3'!$C$3&gt;200)</f>
        <v>0</v>
      </c>
      <c r="E172" s="28" t="s">
        <v>9</v>
      </c>
      <c r="F172" s="47">
        <v>106</v>
      </c>
      <c r="G172" s="48">
        <f t="shared" si="75"/>
        <v>24</v>
      </c>
      <c r="H172" s="49">
        <f t="shared" si="76"/>
        <v>0</v>
      </c>
      <c r="I172" s="114">
        <f t="shared" si="77"/>
        <v>0</v>
      </c>
      <c r="J172" s="22"/>
      <c r="K172" s="28" t="s">
        <v>9</v>
      </c>
      <c r="L172" s="47">
        <v>102</v>
      </c>
      <c r="M172" s="48">
        <f t="shared" si="78"/>
        <v>20</v>
      </c>
      <c r="N172" s="5"/>
      <c r="O172" s="5"/>
    </row>
    <row r="173" spans="4:15" ht="15.75">
      <c r="D173" s="22" t="b">
        <f>AND($D$1=5,$D$7=1,'Simulazione 6.3'!$C$3&lt;=5000,'Simulazione 6.3'!$C$3&gt;1000)</f>
        <v>0</v>
      </c>
      <c r="E173" s="28" t="s">
        <v>10</v>
      </c>
      <c r="F173" s="51">
        <v>100</v>
      </c>
      <c r="G173" s="52">
        <f t="shared" si="75"/>
        <v>18</v>
      </c>
      <c r="H173" s="53">
        <f t="shared" si="76"/>
        <v>0</v>
      </c>
      <c r="I173" s="114">
        <f t="shared" si="77"/>
        <v>0</v>
      </c>
      <c r="J173" s="22"/>
      <c r="K173" s="28" t="s">
        <v>10</v>
      </c>
      <c r="L173" s="51">
        <v>97</v>
      </c>
      <c r="M173" s="52">
        <f t="shared" si="78"/>
        <v>15</v>
      </c>
      <c r="N173" s="5"/>
      <c r="O173" s="5"/>
    </row>
    <row r="174" spans="4:15" ht="16.5" thickBot="1">
      <c r="D174" s="29" t="b">
        <f>AND($D$1=5,$D$7=1,'Simulazione 6.3'!$C$3&gt;=5000)</f>
        <v>0</v>
      </c>
      <c r="E174" s="35" t="s">
        <v>11</v>
      </c>
      <c r="F174" s="57">
        <v>95</v>
      </c>
      <c r="G174" s="58">
        <f t="shared" si="75"/>
        <v>13</v>
      </c>
      <c r="H174" s="53">
        <f t="shared" si="76"/>
        <v>0</v>
      </c>
      <c r="I174" s="114">
        <f t="shared" si="77"/>
        <v>0</v>
      </c>
      <c r="J174" s="29"/>
      <c r="K174" s="35" t="s">
        <v>11</v>
      </c>
      <c r="L174" s="57">
        <v>92</v>
      </c>
      <c r="M174" s="58">
        <f t="shared" si="78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18" t="s">
        <v>126</v>
      </c>
      <c r="E179" s="218"/>
      <c r="F179" s="218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219" t="s">
        <v>4</v>
      </c>
      <c r="G182" s="220"/>
      <c r="H182" s="114"/>
      <c r="I182" s="114"/>
      <c r="J182" s="5"/>
      <c r="K182" s="2"/>
      <c r="L182" s="222"/>
      <c r="M182" s="222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4"/>
      <c r="I183" s="114"/>
      <c r="J183" s="5"/>
      <c r="K183" s="2"/>
      <c r="L183" s="5"/>
      <c r="M183" s="5"/>
      <c r="N183" s="2"/>
      <c r="O183" s="2"/>
    </row>
    <row r="184" spans="4:15">
      <c r="D184" s="22" t="b">
        <f>AND($D$1=1,'Simulazione 6.3'!$C$3&lt;=20,'Simulazione 6.3'!$C$3&gt;=1)</f>
        <v>1</v>
      </c>
      <c r="E184" s="28" t="s">
        <v>128</v>
      </c>
      <c r="F184" s="5">
        <v>288</v>
      </c>
      <c r="G184" s="26">
        <v>186</v>
      </c>
      <c r="H184" s="114">
        <f>IF(D184=TRUE,F184,0)</f>
        <v>288</v>
      </c>
      <c r="I184" s="114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6.3'!$C$3&lt;=200,'Simulazione 6.3'!$C$3&gt;20)</f>
        <v>0</v>
      </c>
      <c r="E185" s="28" t="s">
        <v>8</v>
      </c>
      <c r="F185" s="5">
        <v>276</v>
      </c>
      <c r="G185" s="26">
        <v>174</v>
      </c>
      <c r="H185" s="114">
        <f t="shared" ref="H185:H186" si="79">IF(D185=TRUE,F185,0)</f>
        <v>0</v>
      </c>
      <c r="I185" s="114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6.3'!$C$3&gt;200)</f>
        <v>0</v>
      </c>
      <c r="E186" s="35" t="s">
        <v>129</v>
      </c>
      <c r="F186" s="36">
        <v>255</v>
      </c>
      <c r="G186" s="37">
        <v>153</v>
      </c>
      <c r="H186" s="114">
        <f t="shared" si="79"/>
        <v>0</v>
      </c>
      <c r="I186" s="114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4"/>
      <c r="G187" s="114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219" t="s">
        <v>4</v>
      </c>
      <c r="G189" s="220"/>
      <c r="H189" s="114"/>
      <c r="I189" s="114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4"/>
      <c r="I190" s="114"/>
      <c r="J190" s="2"/>
      <c r="K190" s="2"/>
      <c r="L190" s="2"/>
      <c r="M190" s="2"/>
      <c r="N190" s="2"/>
      <c r="O190" s="2"/>
    </row>
    <row r="191" spans="4:15">
      <c r="D191" s="22" t="b">
        <f>AND($D$1=2,'Simulazione 6.3'!$C$3&lt;=20,'Simulazione 6.3'!$C$3&gt;=1)</f>
        <v>0</v>
      </c>
      <c r="E191" s="28" t="s">
        <v>128</v>
      </c>
      <c r="F191" s="5">
        <v>242</v>
      </c>
      <c r="G191" s="26">
        <v>160</v>
      </c>
      <c r="H191" s="114">
        <f t="shared" ref="H191:H193" si="80">IF(D191=TRUE,F191,0)</f>
        <v>0</v>
      </c>
      <c r="I191" s="114">
        <f t="shared" ref="I191:I193" si="81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6.3'!$C$3&lt;=200,'Simulazione 6.3'!$C$3&gt;20)</f>
        <v>0</v>
      </c>
      <c r="E192" s="28" t="s">
        <v>8</v>
      </c>
      <c r="F192" s="5">
        <v>231</v>
      </c>
      <c r="G192" s="26">
        <v>149</v>
      </c>
      <c r="H192" s="114">
        <f t="shared" si="80"/>
        <v>0</v>
      </c>
      <c r="I192" s="114">
        <f t="shared" si="81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6.3'!$C$3&gt;200)</f>
        <v>0</v>
      </c>
      <c r="E193" s="35" t="s">
        <v>129</v>
      </c>
      <c r="F193" s="36">
        <v>217</v>
      </c>
      <c r="G193" s="37">
        <v>135</v>
      </c>
      <c r="H193" s="114">
        <f t="shared" si="80"/>
        <v>0</v>
      </c>
      <c r="I193" s="114">
        <f t="shared" si="81"/>
        <v>0</v>
      </c>
      <c r="J193" s="2"/>
      <c r="K193" s="2"/>
      <c r="L193" s="2"/>
      <c r="M193" s="2"/>
      <c r="N193" s="2"/>
      <c r="O193" s="2"/>
    </row>
    <row r="194" spans="4:15" ht="15.75" thickBot="1">
      <c r="F194" s="114"/>
      <c r="G194" s="114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219" t="s">
        <v>4</v>
      </c>
      <c r="G197" s="220"/>
      <c r="H197" s="114"/>
      <c r="I197" s="114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4"/>
      <c r="I198" s="114"/>
    </row>
    <row r="199" spans="4:15">
      <c r="D199" s="22" t="b">
        <f>AND($D$1=3,'Simulazione 6.3'!$C$3&lt;=20,'Simulazione 6.3'!$C$3&gt;=1)</f>
        <v>0</v>
      </c>
      <c r="E199" s="28" t="s">
        <v>128</v>
      </c>
      <c r="F199" s="5">
        <v>218</v>
      </c>
      <c r="G199" s="26">
        <v>144</v>
      </c>
      <c r="H199" s="114">
        <f t="shared" ref="H199:H201" si="82">IF(D199=TRUE,F199,0)</f>
        <v>0</v>
      </c>
      <c r="I199" s="114">
        <f t="shared" ref="I199:I200" si="83">IF(D199=TRUE,G199,0)</f>
        <v>0</v>
      </c>
    </row>
    <row r="200" spans="4:15">
      <c r="D200" s="22" t="b">
        <f>AND($D$1=3,'Simulazione 6.3'!$C$3&lt;=200,'Simulazione 6.3'!$C$3&gt;20)</f>
        <v>0</v>
      </c>
      <c r="E200" s="28" t="s">
        <v>8</v>
      </c>
      <c r="F200" s="5">
        <v>208</v>
      </c>
      <c r="G200" s="26">
        <v>134</v>
      </c>
      <c r="H200" s="114">
        <f t="shared" si="82"/>
        <v>0</v>
      </c>
      <c r="I200" s="114">
        <f t="shared" si="83"/>
        <v>0</v>
      </c>
    </row>
    <row r="201" spans="4:15" ht="15.75" thickBot="1">
      <c r="D201" s="29" t="b">
        <f>AND($D$1=3,'Simulazione 6.3'!$C$3&gt;200)</f>
        <v>0</v>
      </c>
      <c r="E201" s="35" t="s">
        <v>129</v>
      </c>
      <c r="F201" s="36">
        <v>195</v>
      </c>
      <c r="G201" s="37">
        <v>121</v>
      </c>
      <c r="H201" s="114">
        <f t="shared" si="82"/>
        <v>0</v>
      </c>
      <c r="I201" s="114">
        <f>IF(D201=TRUE,(G201+M201)/2,0)</f>
        <v>0</v>
      </c>
    </row>
    <row r="202" spans="4:15" ht="15.75" thickBot="1">
      <c r="F202" s="114"/>
      <c r="G202" s="114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219" t="s">
        <v>4</v>
      </c>
      <c r="G205" s="220"/>
      <c r="H205" s="114"/>
      <c r="I205" s="114"/>
    </row>
    <row r="206" spans="4:15">
      <c r="D206" s="22"/>
      <c r="E206" s="2"/>
      <c r="F206" s="5" t="s">
        <v>2</v>
      </c>
      <c r="G206" s="26" t="s">
        <v>3</v>
      </c>
      <c r="H206" s="114"/>
      <c r="I206" s="114"/>
    </row>
    <row r="207" spans="4:15">
      <c r="D207" s="22" t="b">
        <f>AND($D$1=4,'Simulazione 6.3'!$C$3&lt;=20,'Simulazione 6.3'!$C$3&gt;=1)</f>
        <v>0</v>
      </c>
      <c r="E207" s="28" t="s">
        <v>128</v>
      </c>
      <c r="F207" s="5">
        <v>196</v>
      </c>
      <c r="G207" s="26">
        <v>130</v>
      </c>
      <c r="H207" s="114">
        <f t="shared" ref="H207:H209" si="84">IF(D207=TRUE,F207,0)</f>
        <v>0</v>
      </c>
      <c r="I207" s="114">
        <f t="shared" ref="I207:I209" si="85">IF(D207=TRUE,G207,0)</f>
        <v>0</v>
      </c>
    </row>
    <row r="208" spans="4:15">
      <c r="D208" s="22" t="b">
        <f>AND($D$1=4,'Simulazione 6.3'!$C$3&lt;=200,'Simulazione 6.3'!$C$3&gt;20)</f>
        <v>0</v>
      </c>
      <c r="E208" s="28" t="s">
        <v>8</v>
      </c>
      <c r="F208" s="5">
        <v>187</v>
      </c>
      <c r="G208" s="26">
        <v>121</v>
      </c>
      <c r="H208" s="114">
        <f t="shared" si="84"/>
        <v>0</v>
      </c>
      <c r="I208" s="114">
        <f t="shared" si="85"/>
        <v>0</v>
      </c>
    </row>
    <row r="209" spans="2:28" ht="15.75" thickBot="1">
      <c r="D209" s="29" t="b">
        <f>AND($D$1=4,'Simulazione 6.3'!$C$3&gt;200)</f>
        <v>0</v>
      </c>
      <c r="E209" s="35" t="s">
        <v>129</v>
      </c>
      <c r="F209" s="36">
        <v>176</v>
      </c>
      <c r="G209" s="37">
        <v>109</v>
      </c>
      <c r="H209" s="114">
        <f t="shared" si="84"/>
        <v>0</v>
      </c>
      <c r="I209" s="114">
        <f t="shared" si="85"/>
        <v>0</v>
      </c>
    </row>
    <row r="210" spans="2:28" ht="15.75" thickBot="1">
      <c r="F210" s="114"/>
      <c r="G210" s="114"/>
      <c r="H210" s="42">
        <f>IF($H$9=2,H207+H208+H209,0)</f>
        <v>0</v>
      </c>
      <c r="I210" s="42">
        <f>IF($H$9=2,I207+I208+I209,0)</f>
        <v>0</v>
      </c>
    </row>
    <row r="212" spans="2:28" ht="15.75" thickBot="1"/>
    <row r="213" spans="2:28">
      <c r="D213" s="23"/>
      <c r="E213" s="15"/>
      <c r="F213" s="219" t="s">
        <v>4</v>
      </c>
      <c r="G213" s="220"/>
      <c r="H213" s="114"/>
      <c r="I213" s="114"/>
    </row>
    <row r="214" spans="2:28">
      <c r="D214" s="22"/>
      <c r="E214" s="2"/>
      <c r="F214" s="5" t="s">
        <v>2</v>
      </c>
      <c r="G214" s="26" t="s">
        <v>3</v>
      </c>
      <c r="H214" s="114"/>
      <c r="I214" s="114"/>
    </row>
    <row r="215" spans="2:28">
      <c r="D215" s="22" t="b">
        <f>AND($D$1=5,'Simulazione 6.3'!$C$3&lt;=20,'Simulazione 6.3'!$C$3&gt;=1)</f>
        <v>0</v>
      </c>
      <c r="E215" s="28" t="s">
        <v>128</v>
      </c>
      <c r="F215" s="5">
        <v>176</v>
      </c>
      <c r="G215" s="26">
        <v>117</v>
      </c>
      <c r="H215" s="114">
        <f t="shared" ref="H215:H217" si="86">IF(D215=TRUE,F215,0)</f>
        <v>0</v>
      </c>
      <c r="I215" s="114">
        <f t="shared" ref="I215:I217" si="87">IF(D215=TRUE,G215,0)</f>
        <v>0</v>
      </c>
    </row>
    <row r="216" spans="2:28">
      <c r="D216" s="22" t="b">
        <f>AND($D$1=5,'Simulazione 6.3'!$C$3&lt;=200,'Simulazione 6.3'!$C$3&gt;20)</f>
        <v>0</v>
      </c>
      <c r="E216" s="28" t="s">
        <v>8</v>
      </c>
      <c r="F216" s="5">
        <v>169</v>
      </c>
      <c r="G216" s="26">
        <v>109</v>
      </c>
      <c r="H216" s="114">
        <f t="shared" si="86"/>
        <v>0</v>
      </c>
      <c r="I216" s="114">
        <f t="shared" si="87"/>
        <v>0</v>
      </c>
    </row>
    <row r="217" spans="2:28" ht="15.75" thickBot="1">
      <c r="D217" s="29" t="b">
        <f>AND($D$1=5,'Simulazione 6.3'!$C$3&gt;200)</f>
        <v>0</v>
      </c>
      <c r="E217" s="35" t="s">
        <v>129</v>
      </c>
      <c r="F217" s="36">
        <v>158</v>
      </c>
      <c r="G217" s="37">
        <v>98</v>
      </c>
      <c r="H217" s="114">
        <f t="shared" si="86"/>
        <v>0</v>
      </c>
      <c r="I217" s="114">
        <f t="shared" si="87"/>
        <v>0</v>
      </c>
    </row>
    <row r="218" spans="2:28" ht="15.75" thickBot="1">
      <c r="F218" s="114"/>
      <c r="G218" s="114"/>
      <c r="H218" s="42">
        <f>IF($H$9=2,H215+H216+H217,0)</f>
        <v>0</v>
      </c>
      <c r="I218" s="42">
        <f>IF($H$9=2,I215+I216+I217,0)</f>
        <v>0</v>
      </c>
    </row>
    <row r="221" spans="2:28">
      <c r="D221" s="6" t="s">
        <v>158</v>
      </c>
    </row>
    <row r="222" spans="2:28"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05">
        <v>20</v>
      </c>
      <c r="X222" s="105">
        <v>21</v>
      </c>
      <c r="Y222" s="105">
        <v>22</v>
      </c>
      <c r="Z222" s="105">
        <v>23</v>
      </c>
      <c r="AA222" s="105">
        <v>24</v>
      </c>
      <c r="AB222" s="105">
        <v>25</v>
      </c>
    </row>
    <row r="223" spans="2:28">
      <c r="D223" s="177">
        <f>'Simulazione 6.3'!C31</f>
        <v>3000</v>
      </c>
      <c r="E223" s="105">
        <f>D223+(Calcoli!D223/100*'Simulazione 6.3'!$C$39)</f>
        <v>3060</v>
      </c>
      <c r="F223" s="105">
        <f>E223+(Calcoli!E223/100*'Simulazione 6.3'!$C$39)</f>
        <v>3121.2</v>
      </c>
      <c r="G223" s="105">
        <f>F223+(Calcoli!F223/100*'Simulazione 6.3'!$C$39)</f>
        <v>3183.6239999999998</v>
      </c>
      <c r="H223" s="105">
        <f>G223+(Calcoli!G223/100*'Simulazione 6.3'!$C$39)</f>
        <v>3247.29648</v>
      </c>
      <c r="I223" s="105">
        <f>H223+(Calcoli!H223/100*'Simulazione 6.3'!$C$39)</f>
        <v>3312.2424096</v>
      </c>
      <c r="J223" s="105">
        <f>I223+(Calcoli!I223/100*'Simulazione 6.3'!$C$39)</f>
        <v>3378.487257792</v>
      </c>
      <c r="K223" s="105">
        <f>J223+(Calcoli!J223/100*'Simulazione 6.3'!$C$39)</f>
        <v>3446.0570029478399</v>
      </c>
      <c r="L223" s="105">
        <f>K223+(Calcoli!K223/100*'Simulazione 6.3'!$C$39)</f>
        <v>3514.9781430067969</v>
      </c>
      <c r="M223" s="105">
        <f>L223+(Calcoli!L223/100*'Simulazione 6.3'!$C$39)</f>
        <v>3585.277705866933</v>
      </c>
      <c r="N223" s="105">
        <f>M223+(Calcoli!M223/100*'Simulazione 6.3'!$C$39)</f>
        <v>3656.9832599842716</v>
      </c>
      <c r="O223" s="105">
        <f>N223+(Calcoli!N223/100*'Simulazione 6.3'!$C$39)</f>
        <v>3730.1229251839572</v>
      </c>
      <c r="P223" s="105">
        <f>O223+(Calcoli!O223/100*'Simulazione 6.3'!$C$39)</f>
        <v>3804.7253836876362</v>
      </c>
      <c r="Q223" s="105">
        <f>P223+(Calcoli!P223/100*'Simulazione 6.3'!$C$39)</f>
        <v>3880.8198913613887</v>
      </c>
      <c r="R223" s="105">
        <f>Q223+(Calcoli!Q223/100*'Simulazione 6.3'!$C$39)</f>
        <v>3958.4362891886167</v>
      </c>
      <c r="S223" s="105">
        <f>R223+(Calcoli!R223/100*'Simulazione 6.3'!$C$39)</f>
        <v>4037.6050149723892</v>
      </c>
      <c r="T223" s="105">
        <f>S223+(Calcoli!S223/100*'Simulazione 6.3'!$C$39)</f>
        <v>4118.3571152718368</v>
      </c>
      <c r="U223" s="105">
        <f>T223+(Calcoli!T223/100*'Simulazione 6.3'!$C$39)</f>
        <v>4200.7242575772734</v>
      </c>
      <c r="V223" s="105">
        <f>U223+(Calcoli!U223/100*'Simulazione 6.3'!$C$39)</f>
        <v>4284.7387427288186</v>
      </c>
      <c r="W223" s="105">
        <f>V223+(Calcoli!V223/100*'Simulazione 6.3'!$C$39)</f>
        <v>4370.4335175833949</v>
      </c>
      <c r="X223" s="105">
        <f>W223+(Calcoli!W223/100*'Simulazione 6.3'!$C$39)</f>
        <v>4457.8421879350626</v>
      </c>
      <c r="Y223" s="105">
        <f>X223+(Calcoli!X223/100*'Simulazione 6.3'!$C$39)</f>
        <v>4546.9990316937638</v>
      </c>
      <c r="Z223" s="105">
        <f>Y223+(Calcoli!Y223/100*'Simulazione 6.3'!$C$39)</f>
        <v>4637.9390123276389</v>
      </c>
      <c r="AA223" s="105">
        <f>Z223+(Calcoli!Z223/100*'Simulazione 6.3'!$C$39)</f>
        <v>4730.6977925741921</v>
      </c>
      <c r="AB223" s="105">
        <f>AA223+(Calcoli!AA223/100*'Simulazione 6.3'!$C$39)</f>
        <v>4825.3117484256763</v>
      </c>
    </row>
    <row r="224" spans="2:28">
      <c r="B224" s="6" t="s">
        <v>177</v>
      </c>
      <c r="D224" s="105">
        <f>IF('Simulazione 6.3'!$C$33&lt;='Simulazione 6.3'!E54,'Simulazione 6.3'!$C$33,'Simulazione 6.3'!E54/100*Calcoli!$S$41)</f>
        <v>1500</v>
      </c>
      <c r="E224" s="105">
        <f>IF('Simulazione 6.3'!$C$33&lt;='Simulazione 6.3'!F54,'Simulazione 6.3'!$C$33+('Simulazione 6.3'!$C$33/100*'Simulazione 6.3'!$C$39),'Simulazione 6.3'!F54/100*Calcoli!$S$41)</f>
        <v>1530</v>
      </c>
      <c r="F224" s="105">
        <f>IF('Simulazione 6.3'!$C$33&lt;='Simulazione 6.3'!G54,E224+(E224/100*'Simulazione 6.3'!$C$39),'Simulazione 6.3'!G54/100*Calcoli!$S$41)</f>
        <v>1560.6</v>
      </c>
      <c r="G224" s="105">
        <f>IF('Simulazione 6.3'!$C$33&lt;='Simulazione 6.3'!H54,F224+(F224/100*'Simulazione 6.3'!$C$39),'Simulazione 6.3'!H54/100*Calcoli!$S$41)</f>
        <v>1591.8119999999999</v>
      </c>
      <c r="H224" s="105">
        <f>IF('Simulazione 6.3'!$C$33&lt;='Simulazione 6.3'!I54,G224+(G224/100*'Simulazione 6.3'!$C$39),'Simulazione 6.3'!I54/100*Calcoli!$S$41)</f>
        <v>1623.64824</v>
      </c>
      <c r="I224" s="105">
        <f>IF('Simulazione 6.3'!$C$33&lt;='Simulazione 6.3'!J54,H224+(H224/100*'Simulazione 6.3'!$C$39),'Simulazione 6.3'!J54/100*Calcoli!$S$41)</f>
        <v>1656.1212048</v>
      </c>
      <c r="J224" s="105">
        <f>IF('Simulazione 6.3'!$C$33&lt;='Simulazione 6.3'!K54,I224+(I224/100*'Simulazione 6.3'!$C$39),'Simulazione 6.3'!K54/100*Calcoli!$S$41)</f>
        <v>1689.243628896</v>
      </c>
      <c r="K224" s="105">
        <f>IF('Simulazione 6.3'!$C$33&lt;='Simulazione 6.3'!L54,J224+(J224/100*'Simulazione 6.3'!$C$39),'Simulazione 6.3'!L54/100*Calcoli!$S$41)</f>
        <v>1723.02850147392</v>
      </c>
      <c r="L224" s="105">
        <f>IF('Simulazione 6.3'!$C$33&lt;='Simulazione 6.3'!M54,K224+(K224/100*'Simulazione 6.3'!$C$39),'Simulazione 6.3'!M54/100*Calcoli!$S$41)</f>
        <v>1757.4890715033985</v>
      </c>
      <c r="M224" s="105">
        <f>IF('Simulazione 6.3'!$C$33&lt;='Simulazione 6.3'!N54,L224+(L224/100*'Simulazione 6.3'!$C$39),'Simulazione 6.3'!N54/100*Calcoli!$S$41)</f>
        <v>1792.6388529334665</v>
      </c>
      <c r="N224" s="105">
        <f>IF('Simulazione 6.3'!$C$33&lt;='Simulazione 6.3'!O54,M224+(M224/100*'Simulazione 6.3'!$C$39),'Simulazione 6.3'!O54/100*Calcoli!$S$41)</f>
        <v>1828.4916299921358</v>
      </c>
      <c r="O224" s="105">
        <f>IF('Simulazione 6.3'!$C$33&lt;='Simulazione 6.3'!P54,N224+(N224/100*'Simulazione 6.3'!$C$39),'Simulazione 6.3'!P54/100*Calcoli!$S$41)</f>
        <v>1865.0614625919786</v>
      </c>
      <c r="P224" s="105">
        <f>IF('Simulazione 6.3'!$C$33&lt;='Simulazione 6.3'!Q54,O224+(O224/100*'Simulazione 6.3'!$C$39),'Simulazione 6.3'!Q54/100*Calcoli!$S$41)</f>
        <v>1902.3626918438181</v>
      </c>
      <c r="Q224" s="105">
        <f>IF('Simulazione 6.3'!$C$33&lt;='Simulazione 6.3'!R54,P224+(P224/100*'Simulazione 6.3'!$C$39),'Simulazione 6.3'!R54/100*Calcoli!$S$41)</f>
        <v>1940.4099456806944</v>
      </c>
      <c r="R224" s="105">
        <f>IF('Simulazione 6.3'!$C$33&lt;='Simulazione 6.3'!S54,Q224+(Q224/100*'Simulazione 6.3'!$C$39),'Simulazione 6.3'!S54/100*Calcoli!$S$41)</f>
        <v>1979.2181445943083</v>
      </c>
      <c r="S224" s="105">
        <f>IF('Simulazione 6.3'!$C$33&lt;='Simulazione 6.3'!T54,R224+(R224/100*'Simulazione 6.3'!$C$39),'Simulazione 6.3'!T54/100*Calcoli!$S$41)</f>
        <v>2018.8025074861946</v>
      </c>
      <c r="T224" s="105">
        <f>IF('Simulazione 6.3'!$C$33&lt;='Simulazione 6.3'!U54,S224+(S224/100*'Simulazione 6.3'!$C$39),'Simulazione 6.3'!U54/100*Calcoli!$S$41)</f>
        <v>2059.1785576359184</v>
      </c>
      <c r="U224" s="105">
        <f>IF('Simulazione 6.3'!$C$33&lt;='Simulazione 6.3'!V54,T224+(T224/100*'Simulazione 6.3'!$C$39),'Simulazione 6.3'!V54/100*Calcoli!$S$41)</f>
        <v>2100.3621287886367</v>
      </c>
      <c r="V224" s="105">
        <f>IF('Simulazione 6.3'!$C$33&lt;='Simulazione 6.3'!W54,U224+(U224/100*'Simulazione 6.3'!$C$39),'Simulazione 6.3'!W54/100*Calcoli!$S$41)</f>
        <v>2142.3693713644093</v>
      </c>
      <c r="W224" s="105">
        <f>IF('Simulazione 6.3'!$C$33&lt;='Simulazione 6.3'!X54,V224+(V224/100*'Simulazione 6.3'!$C$39),'Simulazione 6.3'!X54/100*Calcoli!$S$41)</f>
        <v>2185.2167587916974</v>
      </c>
      <c r="X224" s="105">
        <f>IF('Simulazione 6.3'!$C$33&lt;='Simulazione 6.3'!Y54,W224+(W224/100*'Simulazione 6.3'!$C$39),'Simulazione 6.3'!Y54/100*Calcoli!$S$41)</f>
        <v>2228.9210939675313</v>
      </c>
      <c r="Y224" s="105">
        <f>IF('Simulazione 6.3'!$C$33&lt;='Simulazione 6.3'!Z54,X224+(X224/100*'Simulazione 6.3'!$C$39),'Simulazione 6.3'!Z54/100*Calcoli!$S$41)</f>
        <v>2273.4995158468819</v>
      </c>
      <c r="Z224" s="105">
        <f>IF('Simulazione 6.3'!$C$33&lt;='Simulazione 6.3'!AA54,Y224+(Y224/100*'Simulazione 6.3'!$C$39),'Simulazione 6.3'!AA54/100*Calcoli!$S$41)</f>
        <v>2318.9695061638195</v>
      </c>
      <c r="AA224" s="105">
        <f>IF('Simulazione 6.3'!$C$33&lt;='Simulazione 6.3'!AB54,Z224+(Z224/100*'Simulazione 6.3'!$C$39),'Simulazione 6.3'!AB54/100*Calcoli!$S$41)</f>
        <v>2365.3488962870961</v>
      </c>
      <c r="AB224" s="105">
        <f>IF('Simulazione 6.3'!$C$33&lt;='Simulazione 6.3'!AC54,AA224+(AA224/100*'Simulazione 6.3'!$C$39),'Simulazione 6.3'!AC54/100*Calcoli!$S$41)</f>
        <v>2412.6558742128382</v>
      </c>
    </row>
    <row r="226" spans="3:41">
      <c r="D226" s="6" t="s">
        <v>162</v>
      </c>
    </row>
    <row r="227" spans="3:41">
      <c r="D227" s="6" t="b">
        <f>AND(D1=6,Q49=1)</f>
        <v>0</v>
      </c>
    </row>
    <row r="229" spans="3:41">
      <c r="D229" s="6" t="s">
        <v>163</v>
      </c>
    </row>
    <row r="230" spans="3:41">
      <c r="D230" s="6" t="b">
        <f>AND(D1=6,Q49=2)</f>
        <v>0</v>
      </c>
    </row>
    <row r="232" spans="3:41">
      <c r="D232" s="6" t="s">
        <v>167</v>
      </c>
      <c r="G232" s="179">
        <f>'Simulazione 6.3'!C46/100*90</f>
        <v>0.16200000000000001</v>
      </c>
      <c r="H232" s="179">
        <f>G232+(G232/100*'Simulazione 6.3'!$C$49)</f>
        <v>0.16848000000000002</v>
      </c>
      <c r="I232" s="179">
        <f>H232+(H232/100*'Simulazione 6.3'!$C$49)</f>
        <v>0.17521920000000002</v>
      </c>
      <c r="J232" s="179">
        <f>I232+(I232/100*'Simulazione 6.3'!$C$49)</f>
        <v>0.18222796800000002</v>
      </c>
      <c r="K232" s="179">
        <f>J232+(J232/100*'Simulazione 6.3'!$C$49)</f>
        <v>0.18951708672000001</v>
      </c>
      <c r="L232" s="179">
        <f>K232+(K232/100*'Simulazione 6.3'!$C$49)</f>
        <v>0.19709777018880001</v>
      </c>
      <c r="M232" s="179">
        <f>L232+(L232/100*'Simulazione 6.3'!$C$49)</f>
        <v>0.204981680996352</v>
      </c>
      <c r="N232" s="179">
        <f>M232+(M232/100*'Simulazione 6.3'!$C$49)</f>
        <v>0.21318094823620609</v>
      </c>
      <c r="O232" s="179">
        <f>N232+(N232/100*'Simulazione 6.3'!$C$49)</f>
        <v>0.22170818616565433</v>
      </c>
      <c r="P232" s="179">
        <f>O232+(O232/100*'Simulazione 6.3'!$C$49)</f>
        <v>0.23057651361228049</v>
      </c>
      <c r="Q232" s="179">
        <f>P232+(P232/100*'Simulazione 6.3'!$C$49)</f>
        <v>0.23979957415677169</v>
      </c>
      <c r="R232" s="179">
        <f>Q232+(Q232/100*'Simulazione 6.3'!$C$49)</f>
        <v>0.24939155712304256</v>
      </c>
      <c r="S232" s="179">
        <f>R232+(R232/100*'Simulazione 6.3'!$C$49)</f>
        <v>0.25936721940796426</v>
      </c>
      <c r="T232" s="179">
        <f>S232+(S232/100*'Simulazione 6.3'!$C$49)</f>
        <v>0.26974190818428284</v>
      </c>
      <c r="U232" s="179">
        <f>T232+(T232/100*'Simulazione 6.3'!$C$49)</f>
        <v>0.28053158451165416</v>
      </c>
      <c r="V232" s="179">
        <f>U232+(U232/100*'Simulazione 6.3'!$C$49)</f>
        <v>0.2917528478921203</v>
      </c>
      <c r="W232" s="179">
        <f>V232+(V232/100*'Simulazione 6.3'!$C$49)</f>
        <v>0.30342296180780509</v>
      </c>
      <c r="X232" s="179">
        <f>W232+(W232/100*'Simulazione 6.3'!$C$49)</f>
        <v>0.31555988028011728</v>
      </c>
      <c r="Y232" s="179">
        <f>X232+(X232/100*'Simulazione 6.3'!$C$49)</f>
        <v>0.32818227549132195</v>
      </c>
      <c r="Z232" s="179">
        <f>Y232+(Y232/100*'Simulazione 6.3'!$C$49)</f>
        <v>0.34130956651097483</v>
      </c>
      <c r="AA232" s="179">
        <f>Z232+(Z232/100*'Simulazione 6.3'!$C$49)</f>
        <v>0.35496194917141383</v>
      </c>
      <c r="AB232" s="179">
        <f>AA232+(AA232/100*'Simulazione 6.3'!$C$49)</f>
        <v>0.36916042713827035</v>
      </c>
      <c r="AC232" s="179">
        <f>AB232+(AB232/100*'Simulazione 6.3'!$C$49)</f>
        <v>0.38392684422380119</v>
      </c>
      <c r="AD232" s="179">
        <f>AC232+(AC232/100*'Simulazione 6.3'!$C$49)</f>
        <v>0.39928391799275326</v>
      </c>
      <c r="AE232" s="179">
        <f>AD232+(AD232/100*'Simulazione 6.3'!$C$49)</f>
        <v>0.41525527471246337</v>
      </c>
      <c r="AF232" s="179"/>
      <c r="AG232" s="179"/>
      <c r="AH232" s="172"/>
      <c r="AI232" s="172"/>
      <c r="AJ232" s="172"/>
      <c r="AK232" s="172"/>
      <c r="AL232" s="172"/>
      <c r="AM232" s="172"/>
      <c r="AN232" s="172"/>
      <c r="AO232" s="172"/>
    </row>
    <row r="235" spans="3:41">
      <c r="C235" s="6" t="s">
        <v>168</v>
      </c>
      <c r="D235" s="104">
        <f>IF('Simulazione 6.3'!E56&lt;'Simulazione 6.3'!E57,'Simulazione 6.3'!E56,'Simulazione 6.3'!E57)</f>
        <v>1500</v>
      </c>
      <c r="E235" s="104">
        <f>IF('Simulazione 6.3'!F56&lt;'Simulazione 6.3'!F57,'Simulazione 6.3'!F56,'Simulazione 6.3'!F57)</f>
        <v>1530</v>
      </c>
      <c r="F235" s="104">
        <f>IF('Simulazione 6.3'!G56&lt;'Simulazione 6.3'!G57,'Simulazione 6.3'!G56,'Simulazione 6.3'!G57)</f>
        <v>1560.6</v>
      </c>
      <c r="G235" s="104">
        <f>IF('Simulazione 6.3'!H56&lt;'Simulazione 6.3'!H57,'Simulazione 6.3'!H56,'Simulazione 6.3'!H57)</f>
        <v>1591.8119999999999</v>
      </c>
      <c r="H235" s="104">
        <f>IF('Simulazione 6.3'!I56&lt;'Simulazione 6.3'!I57,'Simulazione 6.3'!I56,'Simulazione 6.3'!I57)</f>
        <v>1623.64824</v>
      </c>
      <c r="I235" s="104">
        <f>IF('Simulazione 6.3'!J56&lt;'Simulazione 6.3'!J57,'Simulazione 6.3'!J56,'Simulazione 6.3'!J57)</f>
        <v>1641.3982576735295</v>
      </c>
      <c r="J235" s="104">
        <f>IF('Simulazione 6.3'!K56&lt;'Simulazione 6.3'!K57,'Simulazione 6.3'!K56,'Simulazione 6.3'!K57)</f>
        <v>1578.5981584152676</v>
      </c>
      <c r="K235" s="104">
        <f>IF('Simulazione 6.3'!L56&lt;'Simulazione 6.3'!L57,'Simulazione 6.3'!L56,'Simulazione 6.3'!L57)</f>
        <v>1515.4027097515461</v>
      </c>
      <c r="L235" s="104">
        <f>IF('Simulazione 6.3'!M56&lt;'Simulazione 6.3'!M57,'Simulazione 6.3'!M56,'Simulazione 6.3'!M57)</f>
        <v>1451.7962588210385</v>
      </c>
      <c r="M235" s="104">
        <f>IF('Simulazione 6.3'!N56&lt;'Simulazione 6.3'!N57,'Simulazione 6.3'!N56,'Simulazione 6.3'!N57)</f>
        <v>1387.76290941805</v>
      </c>
      <c r="N235" s="104">
        <f>IF('Simulazione 6.3'!O56&lt;'Simulazione 6.3'!O57,'Simulazione 6.3'!O56,'Simulazione 6.3'!O57)</f>
        <v>1323.286516498217</v>
      </c>
      <c r="O235" s="104">
        <f>IF('Simulazione 6.3'!P56&lt;'Simulazione 6.3'!P57,'Simulazione 6.3'!P56,'Simulazione 6.3'!P57)</f>
        <v>1258.3506805799609</v>
      </c>
      <c r="P235" s="104">
        <f>IF('Simulazione 6.3'!Q56&lt;'Simulazione 6.3'!Q57,'Simulazione 6.3'!Q56,'Simulazione 6.3'!Q57)</f>
        <v>1192.9387420395738</v>
      </c>
      <c r="Q235" s="104">
        <f>IF('Simulazione 6.3'!R56&lt;'Simulazione 6.3'!R57,'Simulazione 6.3'!R56,'Simulazione 6.3'!R57)</f>
        <v>1127.0337752977466</v>
      </c>
      <c r="R235" s="104">
        <f>IF('Simulazione 6.3'!S56&lt;'Simulazione 6.3'!S57,'Simulazione 6.3'!S56,'Simulazione 6.3'!S57)</f>
        <v>1060.6185828953267</v>
      </c>
      <c r="S235" s="104">
        <f>IF('Simulazione 6.3'!T56&lt;'Simulazione 6.3'!T57,'Simulazione 6.3'!T56,'Simulazione 6.3'!T57)</f>
        <v>993.67568945603375</v>
      </c>
      <c r="T235" s="104">
        <f>IF('Simulazione 6.3'!U56&lt;'Simulazione 6.3'!U57,'Simulazione 6.3'!U56,'Simulazione 6.3'!U57)</f>
        <v>926.18733553382981</v>
      </c>
      <c r="U235" s="104">
        <f>IF('Simulazione 6.3'!V56&lt;'Simulazione 6.3'!V57,'Simulazione 6.3'!V56,'Simulazione 6.3'!V57)</f>
        <v>858.13547134258351</v>
      </c>
      <c r="V235" s="104">
        <f>IF('Simulazione 6.3'!W56&lt;'Simulazione 6.3'!W57,'Simulazione 6.3'!W56,'Simulazione 6.3'!W57)</f>
        <v>789.50175036562996</v>
      </c>
      <c r="W235" s="104">
        <f>IF('Simulazione 6.3'!X56&lt;'Simulazione 6.3'!X57,'Simulazione 6.3'!X56,'Simulazione 6.3'!X57)</f>
        <v>720.26752284277154</v>
      </c>
      <c r="X235" s="104">
        <f>IF('Simulazione 6.3'!Y56&lt;'Simulazione 6.3'!Y57,'Simulazione 6.3'!Y56,'Simulazione 6.3'!Y57)</f>
        <v>650.41382913222697</v>
      </c>
      <c r="Y235" s="104">
        <f>IF('Simulazione 6.3'!Z56&lt;'Simulazione 6.3'!Z57,'Simulazione 6.3'!Z56,'Simulazione 6.3'!Z57)</f>
        <v>579.92139294497838</v>
      </c>
      <c r="Z235" s="104">
        <f>IF('Simulazione 6.3'!AA56&lt;'Simulazione 6.3'!AA57,'Simulazione 6.3'!AA56,'Simulazione 6.3'!AA57)</f>
        <v>508.77061444891388</v>
      </c>
      <c r="AA235" s="104">
        <f>IF('Simulazione 6.3'!AB56&lt;'Simulazione 6.3'!AB57,'Simulazione 6.3'!AB56,'Simulazione 6.3'!AB57)</f>
        <v>436.94156324012238</v>
      </c>
      <c r="AB235" s="104">
        <f>IF('Simulazione 6.3'!AC56&lt;'Simulazione 6.3'!AC57,'Simulazione 6.3'!AC56,'Simulazione 6.3'!AC57)</f>
        <v>364.41397117863517</v>
      </c>
    </row>
    <row r="236" spans="3:41">
      <c r="C236" s="6" t="s">
        <v>169</v>
      </c>
      <c r="D236" s="104">
        <f>'Simulazione 6.3'!E57-Calcoli!D235</f>
        <v>450</v>
      </c>
      <c r="E236" s="104">
        <f>'Simulazione 6.3'!F57-Calcoli!E235</f>
        <v>358.94999999999982</v>
      </c>
      <c r="F236" s="104">
        <f>'Simulazione 6.3'!G57-Calcoli!F235</f>
        <v>266.97944999999936</v>
      </c>
      <c r="G236" s="104">
        <f>'Simulazione 6.3'!H57-Calcoli!G235</f>
        <v>174.06183494999914</v>
      </c>
      <c r="H236" s="104">
        <f>'Simulazione 6.3'!I57-Calcoli!H235</f>
        <v>80.170182435448623</v>
      </c>
      <c r="I236" s="104">
        <f>'Simulazione 6.3'!J57-Calcoli!I235</f>
        <v>0</v>
      </c>
      <c r="J236" s="104">
        <f>'Simulazione 6.3'!K57-Calcoli!J235</f>
        <v>0</v>
      </c>
      <c r="K236" s="104">
        <f>'Simulazione 6.3'!L57-Calcoli!K235</f>
        <v>0</v>
      </c>
      <c r="L236" s="104">
        <f>'Simulazione 6.3'!M57-Calcoli!L235</f>
        <v>0</v>
      </c>
      <c r="M236" s="104">
        <f>'Simulazione 6.3'!N57-Calcoli!M235</f>
        <v>0</v>
      </c>
      <c r="N236" s="104">
        <f>'Simulazione 6.3'!O57-Calcoli!N235</f>
        <v>0</v>
      </c>
      <c r="O236" s="104">
        <f>'Simulazione 6.3'!P57-Calcoli!O235</f>
        <v>0</v>
      </c>
      <c r="P236" s="104">
        <f>'Simulazione 6.3'!Q57-Calcoli!P235</f>
        <v>0</v>
      </c>
      <c r="Q236" s="104">
        <f>'Simulazione 6.3'!R57-Calcoli!Q235</f>
        <v>0</v>
      </c>
      <c r="R236" s="104">
        <f>'Simulazione 6.3'!S57-Calcoli!R235</f>
        <v>0</v>
      </c>
      <c r="S236" s="104">
        <f>'Simulazione 6.3'!T57-Calcoli!S235</f>
        <v>0</v>
      </c>
      <c r="T236" s="104">
        <f>'Simulazione 6.3'!U57-Calcoli!T235</f>
        <v>0</v>
      </c>
      <c r="U236" s="104">
        <f>'Simulazione 6.3'!V57-Calcoli!U235</f>
        <v>0</v>
      </c>
      <c r="V236" s="104">
        <f>'Simulazione 6.3'!W57-Calcoli!V235</f>
        <v>0</v>
      </c>
      <c r="W236" s="104">
        <f>'Simulazione 6.3'!X57-Calcoli!W235</f>
        <v>0</v>
      </c>
      <c r="X236" s="104">
        <f>'Simulazione 6.3'!Y57-Calcoli!X235</f>
        <v>0</v>
      </c>
      <c r="Y236" s="104">
        <f>'Simulazione 6.3'!Z57-Calcoli!Y235</f>
        <v>0</v>
      </c>
      <c r="Z236" s="104">
        <f>'Simulazione 6.3'!AA57-Calcoli!Z235</f>
        <v>0</v>
      </c>
      <c r="AA236" s="104">
        <f>'Simulazione 6.3'!AB57-Calcoli!AA235</f>
        <v>0</v>
      </c>
      <c r="AB236" s="104">
        <f>'Simulazione 6.3'!AC57-Calcoli!AB235</f>
        <v>0</v>
      </c>
    </row>
    <row r="239" spans="3:41">
      <c r="C239" s="6" t="s">
        <v>176</v>
      </c>
    </row>
    <row r="241" spans="3:31">
      <c r="D241" s="173">
        <v>1</v>
      </c>
      <c r="E241" s="173">
        <v>2</v>
      </c>
      <c r="F241" s="173">
        <v>3</v>
      </c>
      <c r="G241" s="173">
        <v>4</v>
      </c>
      <c r="H241" s="173">
        <v>5</v>
      </c>
      <c r="I241" s="173">
        <v>6</v>
      </c>
      <c r="J241" s="173">
        <v>7</v>
      </c>
      <c r="K241" s="173">
        <v>8</v>
      </c>
      <c r="L241" s="173">
        <v>9</v>
      </c>
      <c r="M241" s="173">
        <v>10</v>
      </c>
      <c r="N241" s="173">
        <v>11</v>
      </c>
      <c r="O241" s="173">
        <v>12</v>
      </c>
      <c r="P241" s="173">
        <v>13</v>
      </c>
      <c r="Q241" s="173">
        <v>14</v>
      </c>
      <c r="R241" s="173">
        <v>15</v>
      </c>
      <c r="S241" s="173">
        <v>16</v>
      </c>
      <c r="T241" s="173">
        <v>17</v>
      </c>
      <c r="U241" s="173">
        <v>18</v>
      </c>
      <c r="V241" s="173">
        <v>19</v>
      </c>
      <c r="W241" s="173">
        <v>20</v>
      </c>
      <c r="X241" s="173">
        <v>21</v>
      </c>
      <c r="Y241" s="173">
        <v>22</v>
      </c>
      <c r="Z241" s="173">
        <v>23</v>
      </c>
      <c r="AA241" s="173">
        <v>24</v>
      </c>
      <c r="AB241" s="173">
        <v>25</v>
      </c>
    </row>
    <row r="242" spans="3:31">
      <c r="D242" s="173">
        <f>'Simulazione 6.3'!C46</f>
        <v>0.18</v>
      </c>
      <c r="E242" s="173">
        <f>D242+(D242/100*'Simulazione 6.3'!$C$49)</f>
        <v>0.18720000000000001</v>
      </c>
      <c r="F242" s="173">
        <f>E242+(E242/100*'Simulazione 6.3'!$C$49)</f>
        <v>0.194688</v>
      </c>
      <c r="G242" s="173">
        <f>F242+(F242/100*'Simulazione 6.3'!$C$49)</f>
        <v>0.20247551999999999</v>
      </c>
      <c r="H242" s="173">
        <f>G242+(G242/100*'Simulazione 6.3'!$C$49)</f>
        <v>0.21057454079999999</v>
      </c>
      <c r="I242" s="173">
        <f>H242+(H242/100*'Simulazione 6.3'!$C$49)</f>
        <v>0.21899752243199999</v>
      </c>
      <c r="J242" s="173">
        <f>I242+(I242/100*'Simulazione 6.3'!$C$49)</f>
        <v>0.22775742332927998</v>
      </c>
      <c r="K242" s="173">
        <f>J242+(J242/100*'Simulazione 6.3'!$C$49)</f>
        <v>0.23686772026245118</v>
      </c>
      <c r="L242" s="173">
        <f>K242+(K242/100*'Simulazione 6.3'!$C$49)</f>
        <v>0.24634242907294923</v>
      </c>
      <c r="M242" s="173">
        <f>L242+(L242/100*'Simulazione 6.3'!$C$49)</f>
        <v>0.25619612623586718</v>
      </c>
      <c r="N242" s="173">
        <f>M242+(M242/100*'Simulazione 6.3'!$C$49)</f>
        <v>0.26644397128530189</v>
      </c>
      <c r="O242" s="173">
        <f>N242+(N242/100*'Simulazione 6.3'!$C$49)</f>
        <v>0.27710173013671396</v>
      </c>
      <c r="P242" s="173">
        <f>O242+(O242/100*'Simulazione 6.3'!$C$49)</f>
        <v>0.28818579934218252</v>
      </c>
      <c r="Q242" s="173">
        <f>P242+(P242/100*'Simulazione 6.3'!$C$49)</f>
        <v>0.2997132313158698</v>
      </c>
      <c r="R242" s="173">
        <f>Q242+(Q242/100*'Simulazione 6.3'!$C$49)</f>
        <v>0.31170176056850457</v>
      </c>
      <c r="S242" s="173">
        <f>R242+(R242/100*'Simulazione 6.3'!$C$49)</f>
        <v>0.32416983099124475</v>
      </c>
      <c r="T242" s="173">
        <f>S242+(S242/100*'Simulazione 6.3'!$C$49)</f>
        <v>0.33713662423089452</v>
      </c>
      <c r="U242" s="173">
        <f>T242+(T242/100*'Simulazione 6.3'!$C$49)</f>
        <v>0.35062208920013033</v>
      </c>
      <c r="V242" s="173">
        <f>U242+(U242/100*'Simulazione 6.3'!$C$49)</f>
        <v>0.36464697276813551</v>
      </c>
      <c r="W242" s="173">
        <f>V242+(V242/100*'Simulazione 6.3'!$C$49)</f>
        <v>0.37923285167886095</v>
      </c>
      <c r="X242" s="173">
        <f>W242+(W242/100*'Simulazione 6.3'!$C$49)</f>
        <v>0.39440216574601539</v>
      </c>
      <c r="Y242" s="173">
        <f>X242+(X242/100*'Simulazione 6.3'!$C$49)</f>
        <v>0.41017825237585598</v>
      </c>
      <c r="Z242" s="173">
        <f>Y242+(Y242/100*'Simulazione 6.3'!$C$49)</f>
        <v>0.42658538247089023</v>
      </c>
      <c r="AA242" s="173">
        <f>Z242+(Z242/100*'Simulazione 6.3'!$C$49)</f>
        <v>0.44364879776972582</v>
      </c>
      <c r="AB242" s="173">
        <f>AA242+(AA242/100*'Simulazione 6.3'!$C$49)</f>
        <v>0.46139474968051486</v>
      </c>
    </row>
    <row r="245" spans="3:31">
      <c r="C245" s="6" t="s">
        <v>178</v>
      </c>
    </row>
    <row r="246" spans="3:31">
      <c r="D246" s="180">
        <f>'Simulazione 6.3'!C47</f>
        <v>0.1</v>
      </c>
      <c r="E246" s="180">
        <f>D246+(D246/100*'Simulazione 6.3'!$C$49)</f>
        <v>0.10400000000000001</v>
      </c>
      <c r="F246" s="180">
        <f>E246+(E246/100*'Simulazione 6.3'!$C$49)</f>
        <v>0.10816000000000001</v>
      </c>
      <c r="G246" s="180">
        <f>F246+(F246/100*'Simulazione 6.3'!$C$49)</f>
        <v>0.1124864</v>
      </c>
      <c r="H246" s="180">
        <f>G246+(G246/100*'Simulazione 6.3'!$C$49)</f>
        <v>0.116985856</v>
      </c>
      <c r="I246" s="180">
        <f>H246+(H246/100*'Simulazione 6.3'!$C$49)</f>
        <v>0.12166529024</v>
      </c>
      <c r="J246" s="180">
        <f>I246+(I246/100*'Simulazione 6.3'!$C$49)</f>
        <v>0.1265319018496</v>
      </c>
      <c r="K246" s="180">
        <f>J246+(J246/100*'Simulazione 6.3'!$C$49)</f>
        <v>0.13159317792358399</v>
      </c>
      <c r="L246" s="180">
        <f>K246+(K246/100*'Simulazione 6.3'!$C$49)</f>
        <v>0.13685690504052736</v>
      </c>
      <c r="M246" s="180">
        <f>L246+(L246/100*'Simulazione 6.3'!$C$49)</f>
        <v>0.14233118124214844</v>
      </c>
      <c r="N246" s="180">
        <f>M246+(M246/100*'Simulazione 6.3'!$C$49)</f>
        <v>0.14802442849183439</v>
      </c>
      <c r="O246" s="180">
        <f>N246+(N246/100*'Simulazione 6.3'!$C$49)</f>
        <v>0.15394540563150777</v>
      </c>
      <c r="P246" s="180">
        <f>O246+(O246/100*'Simulazione 6.3'!$C$49)</f>
        <v>0.16010322185676809</v>
      </c>
      <c r="Q246" s="180">
        <f>P246+(P246/100*'Simulazione 6.3'!$C$49)</f>
        <v>0.16650735073103881</v>
      </c>
      <c r="R246" s="180">
        <f>Q246+(Q246/100*'Simulazione 6.3'!$C$49)</f>
        <v>0.17316764476028038</v>
      </c>
      <c r="S246" s="180">
        <f>R246+(R246/100*'Simulazione 6.3'!$C$49)</f>
        <v>0.18009435055069159</v>
      </c>
      <c r="T246" s="180">
        <f>S246+(S246/100*'Simulazione 6.3'!$C$49)</f>
        <v>0.18729812457271924</v>
      </c>
      <c r="U246" s="180">
        <f>T246+(T246/100*'Simulazione 6.3'!$C$49)</f>
        <v>0.19479004955562801</v>
      </c>
      <c r="V246" s="180">
        <f>U246+(U246/100*'Simulazione 6.3'!$C$49)</f>
        <v>0.20258165153785312</v>
      </c>
      <c r="W246" s="180">
        <f>V246+(V246/100*'Simulazione 6.3'!$C$49)</f>
        <v>0.21068491759936725</v>
      </c>
      <c r="X246" s="180">
        <f>W246+(W246/100*'Simulazione 6.3'!$C$49)</f>
        <v>0.21911231430334194</v>
      </c>
      <c r="Y246" s="180">
        <f>X246+(X246/100*'Simulazione 6.3'!$C$49)</f>
        <v>0.22787680687547562</v>
      </c>
      <c r="Z246" s="180">
        <f>Y246+(Y246/100*'Simulazione 6.3'!$C$49)</f>
        <v>0.23699187915049466</v>
      </c>
      <c r="AA246" s="180">
        <f>Z246+(Z246/100*'Simulazione 6.3'!$C$49)</f>
        <v>0.24647155431651444</v>
      </c>
      <c r="AB246" s="180">
        <f>AA246+(AA246/100*'Simulazione 6.3'!$C$49)</f>
        <v>0.25633041648917504</v>
      </c>
      <c r="AC246" s="179"/>
      <c r="AD246" s="179"/>
      <c r="AE246" s="179"/>
    </row>
    <row r="249" spans="3:31">
      <c r="C249" s="6" t="s">
        <v>28</v>
      </c>
    </row>
    <row r="250" spans="3:31">
      <c r="D250" s="178"/>
    </row>
    <row r="251" spans="3:31">
      <c r="D251" s="6" t="b">
        <f>AND($C$33&lt;='Simulazione 6.3'!E54,$Q$49=1)</f>
        <v>1</v>
      </c>
      <c r="E251" s="6" t="b">
        <f>AND($C$33&lt;='Simulazione 6.3'!F54,$Q$49=1)</f>
        <v>1</v>
      </c>
      <c r="F251" s="6" t="b">
        <f>AND($C$33&lt;='Simulazione 6.3'!G54,$Q$49=1)</f>
        <v>1</v>
      </c>
      <c r="G251" s="6" t="b">
        <f>AND($C$33&lt;='Simulazione 6.3'!H54,$Q$49=1)</f>
        <v>1</v>
      </c>
      <c r="H251" s="6" t="b">
        <f>AND($C$33&lt;='Simulazione 6.3'!I54,$Q$49=1)</f>
        <v>1</v>
      </c>
      <c r="I251" s="6" t="b">
        <f>AND($C$33&lt;='Simulazione 6.3'!J54,$Q$49=1)</f>
        <v>1</v>
      </c>
      <c r="J251" s="6" t="b">
        <f>AND($C$33&lt;='Simulazione 6.3'!K54,$Q$49=1)</f>
        <v>1</v>
      </c>
      <c r="K251" s="6" t="b">
        <f>AND($C$33&lt;='Simulazione 6.3'!L54,$Q$49=1)</f>
        <v>1</v>
      </c>
      <c r="L251" s="6" t="b">
        <f>AND($C$33&lt;='Simulazione 6.3'!M54,$Q$49=1)</f>
        <v>1</v>
      </c>
      <c r="M251" s="6" t="b">
        <f>AND($C$33&lt;='Simulazione 6.3'!N54,$Q$49=1)</f>
        <v>1</v>
      </c>
      <c r="N251" s="6" t="b">
        <f>AND($C$33&lt;='Simulazione 6.3'!O54,$Q$49=1)</f>
        <v>1</v>
      </c>
      <c r="O251" s="6" t="b">
        <f>AND($C$33&lt;='Simulazione 6.3'!P54,$Q$49=1)</f>
        <v>1</v>
      </c>
      <c r="P251" s="6" t="b">
        <f>AND($C$33&lt;='Simulazione 6.3'!Q54,$Q$49=1)</f>
        <v>1</v>
      </c>
      <c r="Q251" s="6" t="b">
        <f>AND($C$33&lt;='Simulazione 6.3'!R54,$Q$49=1)</f>
        <v>1</v>
      </c>
      <c r="R251" s="6" t="b">
        <f>AND($C$33&lt;='Simulazione 6.3'!S54,$Q$49=1)</f>
        <v>1</v>
      </c>
      <c r="S251" s="6" t="b">
        <f>AND($C$33&lt;='Simulazione 6.3'!T54,$Q$49=1)</f>
        <v>1</v>
      </c>
      <c r="T251" s="6" t="b">
        <f>AND($C$33&lt;='Simulazione 6.3'!U54,$Q$49=1)</f>
        <v>1</v>
      </c>
      <c r="U251" s="6" t="b">
        <f>AND($C$33&lt;='Simulazione 6.3'!V54,$Q$49=1)</f>
        <v>1</v>
      </c>
      <c r="V251" s="6" t="b">
        <f>AND($C$33&lt;='Simulazione 6.3'!W54,$Q$49=1)</f>
        <v>1</v>
      </c>
      <c r="W251" s="6" t="b">
        <f>AND($C$33&lt;='Simulazione 6.3'!X54,$Q$49=1)</f>
        <v>1</v>
      </c>
      <c r="X251" s="6" t="b">
        <f>AND($C$33&lt;='Simulazione 6.3'!Y54,$Q$49=1)</f>
        <v>1</v>
      </c>
      <c r="Y251" s="6" t="b">
        <f>AND($C$33&lt;='Simulazione 6.3'!Z54,$Q$49=1)</f>
        <v>1</v>
      </c>
      <c r="Z251" s="6" t="b">
        <f>AND($C$33&lt;='Simulazione 6.3'!AA54,$Q$49=1)</f>
        <v>1</v>
      </c>
      <c r="AA251" s="6" t="b">
        <f>AND($C$33&lt;='Simulazione 6.3'!AB54,$Q$49=1)</f>
        <v>1</v>
      </c>
      <c r="AB251" s="6" t="b">
        <f>AND($C$33&lt;='Simulazione 6.3'!AC54,$Q$49=1)</f>
        <v>1</v>
      </c>
    </row>
    <row r="253" spans="3:31">
      <c r="C253" s="6" t="s">
        <v>27</v>
      </c>
    </row>
    <row r="255" spans="3:31">
      <c r="D255" s="178">
        <f>IF(Calcoli!$Q$49=1,'Simulazione 6.3'!C31,0)</f>
        <v>3000</v>
      </c>
      <c r="E255" s="105">
        <f>D255+D255/100*'Simulazione 6.3'!$C$39</f>
        <v>3060</v>
      </c>
      <c r="F255" s="105">
        <f>E255+E255/100*'Simulazione 6.3'!$C$39</f>
        <v>3121.2</v>
      </c>
      <c r="G255" s="105">
        <f>F255+F255/100*'Simulazione 6.3'!$C$39</f>
        <v>3183.6239999999998</v>
      </c>
      <c r="H255" s="105">
        <f>G255+G255/100*'Simulazione 6.3'!$C$39</f>
        <v>3247.29648</v>
      </c>
      <c r="I255" s="105">
        <f>H255+H255/100*'Simulazione 6.3'!$C$39</f>
        <v>3312.2424096</v>
      </c>
      <c r="J255" s="105">
        <f>I255+I255/100*'Simulazione 6.3'!$C$39</f>
        <v>3378.487257792</v>
      </c>
      <c r="K255" s="105">
        <f>J255+J255/100*'Simulazione 6.3'!$C$39</f>
        <v>3446.0570029478399</v>
      </c>
      <c r="L255" s="105">
        <f>K255+K255/100*'Simulazione 6.3'!$C$39</f>
        <v>3514.9781430067969</v>
      </c>
      <c r="M255" s="105">
        <f>L255+L255/100*'Simulazione 6.3'!$C$39</f>
        <v>3585.277705866933</v>
      </c>
      <c r="N255" s="105">
        <f>M255+M255/100*'Simulazione 6.3'!$C$39</f>
        <v>3656.9832599842716</v>
      </c>
      <c r="O255" s="105">
        <f>N255+N255/100*'Simulazione 6.3'!$C$39</f>
        <v>3730.1229251839572</v>
      </c>
      <c r="P255" s="105">
        <f>O255+O255/100*'Simulazione 6.3'!$C$39</f>
        <v>3804.7253836876362</v>
      </c>
      <c r="Q255" s="105">
        <f>P255+P255/100*'Simulazione 6.3'!$C$39</f>
        <v>3880.8198913613887</v>
      </c>
      <c r="R255" s="105">
        <f>Q255+Q255/100*'Simulazione 6.3'!$C$39</f>
        <v>3958.4362891886167</v>
      </c>
      <c r="S255" s="105">
        <f>R255+R255/100*'Simulazione 6.3'!$C$39</f>
        <v>4037.6050149723892</v>
      </c>
      <c r="T255" s="105">
        <f>S255+S255/100*'Simulazione 6.3'!$C$39</f>
        <v>4118.3571152718368</v>
      </c>
      <c r="U255" s="105">
        <f>T255+T255/100*'Simulazione 6.3'!$C$39</f>
        <v>4200.7242575772734</v>
      </c>
      <c r="V255" s="105">
        <f>U255+U255/100*'Simulazione 6.3'!$C$39</f>
        <v>4284.7387427288186</v>
      </c>
      <c r="W255" s="105">
        <f>V255+V255/100*'Simulazione 6.3'!$C$39</f>
        <v>4370.4335175833949</v>
      </c>
      <c r="X255" s="105">
        <f>W255+W255/100*'Simulazione 6.3'!$C$39</f>
        <v>4457.8421879350626</v>
      </c>
      <c r="Y255" s="105">
        <f>X255+X255/100*'Simulazione 6.3'!$C$39</f>
        <v>4546.9990316937638</v>
      </c>
      <c r="Z255" s="105">
        <f>Y255+Y255/100*'Simulazione 6.3'!$C$39</f>
        <v>4637.9390123276389</v>
      </c>
      <c r="AA255" s="105">
        <f>Z255+Z255/100*'Simulazione 6.3'!$C$39</f>
        <v>4730.6977925741921</v>
      </c>
      <c r="AB255" s="105">
        <f>AA255+AA255/100*'Simulazione 6.3'!$C$39</f>
        <v>4825.3117484256763</v>
      </c>
    </row>
    <row r="257" spans="3:3">
      <c r="C257" s="6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1:M121"/>
    <mergeCell ref="F131:G131"/>
    <mergeCell ref="L131:M131"/>
    <mergeCell ref="F182:G182"/>
    <mergeCell ref="L182:M182"/>
    <mergeCell ref="D179:F179"/>
    <mergeCell ref="D119:F119"/>
    <mergeCell ref="F189:G189"/>
    <mergeCell ref="F197:G197"/>
    <mergeCell ref="F205:G205"/>
    <mergeCell ref="F213:G213"/>
    <mergeCell ref="F121:G12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6.3</vt:lpstr>
      <vt:lpstr>Calcoli</vt:lpstr>
      <vt:lpstr>'Simulazione 6.3'!Area_stampa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2012-08-07T17:09:27Z</dcterms:modified>
</cp:coreProperties>
</file>