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Impianti Titolo III" sheetId="5" r:id="rId2"/>
  </sheets>
  <calcPr calcId="125725" forceFullCalc="1"/>
</workbook>
</file>

<file path=xl/calcChain.xml><?xml version="1.0" encoding="utf-8"?>
<calcChain xmlns="http://schemas.openxmlformats.org/spreadsheetml/2006/main">
  <c r="AE70" i="1"/>
  <c r="AF7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F103" s="1"/>
  <c r="AF104" s="1"/>
  <c r="AF105" s="1"/>
  <c r="AF106" s="1"/>
  <c r="AF107" s="1"/>
  <c r="AF108" s="1"/>
  <c r="AF109" s="1"/>
  <c r="AF110" s="1"/>
  <c r="AF111" s="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E130" s="1"/>
  <c r="AD7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D101" s="1"/>
  <c r="AD102" s="1"/>
  <c r="AD103" s="1"/>
  <c r="AD104" s="1"/>
  <c r="AD105" s="1"/>
  <c r="AD106" s="1"/>
  <c r="AD107" s="1"/>
  <c r="AD108" s="1"/>
  <c r="AD109" s="1"/>
  <c r="AD110" s="1"/>
  <c r="AD111" s="1"/>
  <c r="AD112" s="1"/>
  <c r="AD113" s="1"/>
  <c r="AD114" s="1"/>
  <c r="AD115" s="1"/>
  <c r="AD116" s="1"/>
  <c r="AD117" s="1"/>
  <c r="AD118" s="1"/>
  <c r="AD119" s="1"/>
  <c r="AD120" s="1"/>
  <c r="AD121" s="1"/>
  <c r="AD122" s="1"/>
  <c r="AD123" s="1"/>
  <c r="AD124" s="1"/>
  <c r="AD125" s="1"/>
  <c r="AD126" s="1"/>
  <c r="AD127" s="1"/>
  <c r="AD128" s="1"/>
  <c r="AD129" s="1"/>
  <c r="AD130" s="1"/>
  <c r="AC47" i="5"/>
  <c r="AG47" s="1"/>
  <c r="AC46"/>
  <c r="AG46" s="1"/>
  <c r="AC45"/>
  <c r="AG45" s="1"/>
  <c r="AC61"/>
  <c r="AG61" s="1"/>
  <c r="AC60"/>
  <c r="AG60" s="1"/>
  <c r="AC59"/>
  <c r="AG59" s="1"/>
  <c r="AC35"/>
  <c r="AH35" s="1"/>
  <c r="AC34"/>
  <c r="AH34" s="1"/>
  <c r="AC33"/>
  <c r="AG33" s="1"/>
  <c r="AC25"/>
  <c r="AH25" s="1"/>
  <c r="AC24"/>
  <c r="AG24" s="1"/>
  <c r="AC23"/>
  <c r="AG23" s="1"/>
  <c r="AC15"/>
  <c r="AH15" s="1"/>
  <c r="AC14"/>
  <c r="AG14" s="1"/>
  <c r="AC13"/>
  <c r="AH13" s="1"/>
  <c r="AM61"/>
  <c r="AE82"/>
  <c r="AE81"/>
  <c r="AE80"/>
  <c r="AE79"/>
  <c r="AE78"/>
  <c r="AE77"/>
  <c r="AE76"/>
  <c r="AE75"/>
  <c r="AE74"/>
  <c r="AE73"/>
  <c r="AE72"/>
  <c r="AE71"/>
  <c r="AE70"/>
  <c r="AM64"/>
  <c r="AM63"/>
  <c r="AM62"/>
  <c r="AM60"/>
  <c r="AM59"/>
  <c r="AM50"/>
  <c r="AM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M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M47"/>
  <c r="AM46"/>
  <c r="AM45"/>
  <c r="AR38"/>
  <c r="AN38"/>
  <c r="AR37"/>
  <c r="AM37"/>
  <c r="AR36"/>
  <c r="AN36"/>
  <c r="AR35"/>
  <c r="AN35"/>
  <c r="AR34"/>
  <c r="AN34"/>
  <c r="AR33"/>
  <c r="AM33"/>
  <c r="AR32"/>
  <c r="AR31"/>
  <c r="AR30"/>
  <c r="G30"/>
  <c r="AM28"/>
  <c r="AN27"/>
  <c r="AN26"/>
  <c r="AN25"/>
  <c r="AM24"/>
  <c r="AM23"/>
  <c r="AM18"/>
  <c r="AN17"/>
  <c r="AN16"/>
  <c r="AN15"/>
  <c r="AN14"/>
  <c r="AN13"/>
  <c r="AL1"/>
  <c r="AO25" s="1"/>
  <c r="AQ25" s="1"/>
  <c r="AI64" i="1"/>
  <c r="AM64" s="1"/>
  <c r="AI63"/>
  <c r="AM63" s="1"/>
  <c r="AI62"/>
  <c r="AM62" s="1"/>
  <c r="AI61"/>
  <c r="AM61" s="1"/>
  <c r="AI60"/>
  <c r="AM60" s="1"/>
  <c r="AI59"/>
  <c r="AM59" s="1"/>
  <c r="AI50"/>
  <c r="AM50" s="1"/>
  <c r="AI49"/>
  <c r="AM49" s="1"/>
  <c r="AI48"/>
  <c r="AM48" s="1"/>
  <c r="AI47"/>
  <c r="AM47" s="1"/>
  <c r="AI46"/>
  <c r="AM46" s="1"/>
  <c r="AI45"/>
  <c r="AM45" s="1"/>
  <c r="AI38"/>
  <c r="AM38" s="1"/>
  <c r="AI37"/>
  <c r="AM37" s="1"/>
  <c r="AI36"/>
  <c r="AM36" s="1"/>
  <c r="AI35"/>
  <c r="AM35" s="1"/>
  <c r="AI34"/>
  <c r="AM34" s="1"/>
  <c r="AI33"/>
  <c r="AM33" s="1"/>
  <c r="AI28"/>
  <c r="AI27"/>
  <c r="AI26"/>
  <c r="AI25"/>
  <c r="AI24"/>
  <c r="AI23"/>
  <c r="AI18"/>
  <c r="AI17"/>
  <c r="AI16"/>
  <c r="AI15"/>
  <c r="AI14"/>
  <c r="AI13"/>
  <c r="AC64"/>
  <c r="AH64" s="1"/>
  <c r="AC63"/>
  <c r="AH63" s="1"/>
  <c r="AC62"/>
  <c r="AH62" s="1"/>
  <c r="AC61"/>
  <c r="AH61" s="1"/>
  <c r="AC60"/>
  <c r="AC59"/>
  <c r="AH59" s="1"/>
  <c r="AC50"/>
  <c r="AH50" s="1"/>
  <c r="AC49"/>
  <c r="AH49" s="1"/>
  <c r="AC48"/>
  <c r="AH48" s="1"/>
  <c r="AC47"/>
  <c r="AH47" s="1"/>
  <c r="AC46"/>
  <c r="AC45"/>
  <c r="AH45" s="1"/>
  <c r="AC38"/>
  <c r="AG38" s="1"/>
  <c r="AC37"/>
  <c r="AG37" s="1"/>
  <c r="AC36"/>
  <c r="AG36" s="1"/>
  <c r="AC35"/>
  <c r="AG35" s="1"/>
  <c r="AC34"/>
  <c r="AG34" s="1"/>
  <c r="AC33"/>
  <c r="AG33" s="1"/>
  <c r="AC28"/>
  <c r="AC27"/>
  <c r="AC26"/>
  <c r="AC25"/>
  <c r="AC24"/>
  <c r="AC23"/>
  <c r="AF18"/>
  <c r="AF17"/>
  <c r="AF16"/>
  <c r="AF15"/>
  <c r="AF14"/>
  <c r="AL64"/>
  <c r="AF64"/>
  <c r="AL63"/>
  <c r="AF63"/>
  <c r="AL62"/>
  <c r="AF62"/>
  <c r="AL61"/>
  <c r="AF61"/>
  <c r="AL60"/>
  <c r="AF60"/>
  <c r="AL59"/>
  <c r="AF59"/>
  <c r="AL50"/>
  <c r="AF50"/>
  <c r="AL49"/>
  <c r="AF49"/>
  <c r="AL48"/>
  <c r="AF48"/>
  <c r="AL47"/>
  <c r="AF47"/>
  <c r="AL46"/>
  <c r="AF46"/>
  <c r="AL45"/>
  <c r="AF45"/>
  <c r="AL38"/>
  <c r="AF38"/>
  <c r="AL37"/>
  <c r="AF37"/>
  <c r="AL36"/>
  <c r="AF36"/>
  <c r="AL35"/>
  <c r="AF35"/>
  <c r="AL34"/>
  <c r="AF34"/>
  <c r="AL33"/>
  <c r="AF33"/>
  <c r="G30"/>
  <c r="AR38"/>
  <c r="AR37"/>
  <c r="AR36"/>
  <c r="AR35"/>
  <c r="AR34"/>
  <c r="AR33"/>
  <c r="AR32"/>
  <c r="AR31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R30"/>
  <c r="AE71" l="1"/>
  <c r="AE74"/>
  <c r="AE78"/>
  <c r="AE82"/>
  <c r="AE86"/>
  <c r="AE90"/>
  <c r="AE94"/>
  <c r="AE98"/>
  <c r="AE102"/>
  <c r="AE106"/>
  <c r="AE110"/>
  <c r="AE114"/>
  <c r="AE118"/>
  <c r="AE122"/>
  <c r="AE126"/>
  <c r="AE73"/>
  <c r="AE77"/>
  <c r="AE81"/>
  <c r="AE85"/>
  <c r="AE89"/>
  <c r="AE93"/>
  <c r="AE97"/>
  <c r="AE101"/>
  <c r="AE105"/>
  <c r="AE109"/>
  <c r="AE113"/>
  <c r="AE117"/>
  <c r="AE121"/>
  <c r="AE125"/>
  <c r="AE129"/>
  <c r="AE72"/>
  <c r="AE76"/>
  <c r="AE80"/>
  <c r="AE84"/>
  <c r="AE88"/>
  <c r="AE92"/>
  <c r="AE96"/>
  <c r="AE100"/>
  <c r="AE104"/>
  <c r="AE108"/>
  <c r="AE112"/>
  <c r="AE116"/>
  <c r="AE120"/>
  <c r="AE124"/>
  <c r="AE128"/>
  <c r="AE75"/>
  <c r="AE79"/>
  <c r="AE83"/>
  <c r="AE87"/>
  <c r="AE91"/>
  <c r="AE95"/>
  <c r="AE99"/>
  <c r="AE103"/>
  <c r="AE107"/>
  <c r="AE111"/>
  <c r="AE115"/>
  <c r="AE119"/>
  <c r="AE123"/>
  <c r="AE127"/>
  <c r="AG13" i="5"/>
  <c r="AG15"/>
  <c r="AM65"/>
  <c r="AG65"/>
  <c r="AG51"/>
  <c r="H50"/>
  <c r="L50"/>
  <c r="P50"/>
  <c r="T50"/>
  <c r="X50"/>
  <c r="AM51"/>
  <c r="G50"/>
  <c r="K50"/>
  <c r="O50"/>
  <c r="S50"/>
  <c r="W50"/>
  <c r="F50"/>
  <c r="J50"/>
  <c r="N50"/>
  <c r="R50"/>
  <c r="V50"/>
  <c r="E50"/>
  <c r="I50"/>
  <c r="M50"/>
  <c r="Q50"/>
  <c r="U50"/>
  <c r="AN37"/>
  <c r="AO5"/>
  <c r="AQ5" s="1"/>
  <c r="AM38"/>
  <c r="AM27"/>
  <c r="AM17"/>
  <c r="AN33"/>
  <c r="AG34"/>
  <c r="AM13"/>
  <c r="AM26"/>
  <c r="AM35"/>
  <c r="AR40"/>
  <c r="C26" s="1"/>
  <c r="X40" s="1"/>
  <c r="AN18"/>
  <c r="AN19" s="1"/>
  <c r="AH23"/>
  <c r="AN23"/>
  <c r="AM15"/>
  <c r="AH24"/>
  <c r="AM34"/>
  <c r="AG35"/>
  <c r="AO2"/>
  <c r="AQ2" s="1"/>
  <c r="AO7"/>
  <c r="AQ7" s="1"/>
  <c r="AO11"/>
  <c r="AQ11" s="1"/>
  <c r="AO13"/>
  <c r="AQ13" s="1"/>
  <c r="AO15"/>
  <c r="AQ15" s="1"/>
  <c r="AO17"/>
  <c r="AQ17" s="1"/>
  <c r="AG25"/>
  <c r="AG29" s="1"/>
  <c r="AM25"/>
  <c r="AH33"/>
  <c r="AE84"/>
  <c r="C23" s="1"/>
  <c r="E39" s="1"/>
  <c r="AO1"/>
  <c r="AQ1" s="1"/>
  <c r="AO6"/>
  <c r="AQ6" s="1"/>
  <c r="AO10"/>
  <c r="AQ10" s="1"/>
  <c r="AO22"/>
  <c r="AQ22" s="1"/>
  <c r="AO9"/>
  <c r="AQ9" s="1"/>
  <c r="AO21"/>
  <c r="AQ21" s="1"/>
  <c r="AO3"/>
  <c r="AQ3" s="1"/>
  <c r="AO8"/>
  <c r="AQ8" s="1"/>
  <c r="AO12"/>
  <c r="AQ12" s="1"/>
  <c r="AH14"/>
  <c r="AO14"/>
  <c r="AQ14" s="1"/>
  <c r="AO16"/>
  <c r="AQ16" s="1"/>
  <c r="AO19"/>
  <c r="AQ19" s="1"/>
  <c r="AN24"/>
  <c r="AN28"/>
  <c r="AM14"/>
  <c r="AM16"/>
  <c r="AM36"/>
  <c r="AO24"/>
  <c r="AQ24" s="1"/>
  <c r="AO18"/>
  <c r="AQ18" s="1"/>
  <c r="AO23"/>
  <c r="AQ23" s="1"/>
  <c r="AH45"/>
  <c r="AN45"/>
  <c r="AH46"/>
  <c r="AN46"/>
  <c r="AH47"/>
  <c r="AN47"/>
  <c r="AN48"/>
  <c r="AN49"/>
  <c r="AN50"/>
  <c r="AH59"/>
  <c r="AN59"/>
  <c r="AH60"/>
  <c r="AN60"/>
  <c r="AH61"/>
  <c r="AN61"/>
  <c r="AN62"/>
  <c r="AN63"/>
  <c r="AN64"/>
  <c r="AH60" i="1"/>
  <c r="AH46"/>
  <c r="AH51" s="1"/>
  <c r="AN60"/>
  <c r="AN62"/>
  <c r="AN64"/>
  <c r="AN59"/>
  <c r="AN61"/>
  <c r="AN63"/>
  <c r="AN46"/>
  <c r="AN48"/>
  <c r="AN50"/>
  <c r="AN45"/>
  <c r="AN47"/>
  <c r="AN49"/>
  <c r="AN34"/>
  <c r="AN36"/>
  <c r="AN38"/>
  <c r="AN33"/>
  <c r="AN35"/>
  <c r="AN37"/>
  <c r="AH34"/>
  <c r="AH38"/>
  <c r="AH33"/>
  <c r="AH37"/>
  <c r="AH36"/>
  <c r="AH35"/>
  <c r="AG46"/>
  <c r="AG50"/>
  <c r="AG45"/>
  <c r="AG49"/>
  <c r="AG48"/>
  <c r="AG47"/>
  <c r="AG39"/>
  <c r="AM39"/>
  <c r="AG63"/>
  <c r="AG59"/>
  <c r="AG61"/>
  <c r="AG60"/>
  <c r="AG62"/>
  <c r="AG64"/>
  <c r="AH65"/>
  <c r="I50"/>
  <c r="M50"/>
  <c r="Q50"/>
  <c r="U50"/>
  <c r="E50"/>
  <c r="J50"/>
  <c r="N50"/>
  <c r="R50"/>
  <c r="V50"/>
  <c r="G50"/>
  <c r="K50"/>
  <c r="O50"/>
  <c r="S50"/>
  <c r="W50"/>
  <c r="H50"/>
  <c r="L50"/>
  <c r="P50"/>
  <c r="T50"/>
  <c r="X50"/>
  <c r="F50"/>
  <c r="AE132" l="1"/>
  <c r="C23" s="1"/>
  <c r="E39" s="1"/>
  <c r="F39" s="1"/>
  <c r="AM39" i="5"/>
  <c r="E40"/>
  <c r="E41" s="1"/>
  <c r="N40"/>
  <c r="U40"/>
  <c r="G40"/>
  <c r="W40"/>
  <c r="T40"/>
  <c r="AN39"/>
  <c r="AH29"/>
  <c r="E45"/>
  <c r="F45" s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AM29"/>
  <c r="K40"/>
  <c r="C28"/>
  <c r="R40"/>
  <c r="I40"/>
  <c r="H40"/>
  <c r="AG39"/>
  <c r="AH39"/>
  <c r="S40"/>
  <c r="J40"/>
  <c r="Q40"/>
  <c r="P40"/>
  <c r="AG19"/>
  <c r="O40"/>
  <c r="F40"/>
  <c r="V40"/>
  <c r="M40"/>
  <c r="L40"/>
  <c r="C27"/>
  <c r="AH19"/>
  <c r="AM19"/>
  <c r="AH65"/>
  <c r="AQ27"/>
  <c r="F19" s="1"/>
  <c r="AN29"/>
  <c r="F39"/>
  <c r="AH51"/>
  <c r="AN65"/>
  <c r="AN51"/>
  <c r="AN65" i="1"/>
  <c r="AN51"/>
  <c r="AG65"/>
  <c r="AM65"/>
  <c r="AM51"/>
  <c r="AG51"/>
  <c r="AH39"/>
  <c r="AN39"/>
  <c r="AR40"/>
  <c r="C26" s="1"/>
  <c r="E45" s="1"/>
  <c r="E18" i="5" l="1"/>
  <c r="F18"/>
  <c r="E19"/>
  <c r="D19" s="1"/>
  <c r="F41"/>
  <c r="G39"/>
  <c r="F45" i="1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G39"/>
  <c r="E40"/>
  <c r="E41" s="1"/>
  <c r="U40"/>
  <c r="Q40"/>
  <c r="M40"/>
  <c r="I40"/>
  <c r="V40"/>
  <c r="R40"/>
  <c r="N40"/>
  <c r="J40"/>
  <c r="F40"/>
  <c r="F41" s="1"/>
  <c r="W40"/>
  <c r="S40"/>
  <c r="O40"/>
  <c r="K40"/>
  <c r="G40"/>
  <c r="X40"/>
  <c r="T40"/>
  <c r="P40"/>
  <c r="L40"/>
  <c r="H40"/>
  <c r="C28"/>
  <c r="C27"/>
  <c r="D18" i="5" l="1"/>
  <c r="E43" s="1"/>
  <c r="S44"/>
  <c r="V44"/>
  <c r="P44"/>
  <c r="U44"/>
  <c r="E44"/>
  <c r="T44"/>
  <c r="J44"/>
  <c r="O44"/>
  <c r="F44"/>
  <c r="Q44"/>
  <c r="K44"/>
  <c r="R44"/>
  <c r="M44"/>
  <c r="L44"/>
  <c r="G44"/>
  <c r="W44"/>
  <c r="N44"/>
  <c r="I44"/>
  <c r="H44"/>
  <c r="X44"/>
  <c r="G41"/>
  <c r="H39"/>
  <c r="H39" i="1"/>
  <c r="G41"/>
  <c r="G43" i="5" l="1"/>
  <c r="G46" s="1"/>
  <c r="F43"/>
  <c r="F46" s="1"/>
  <c r="E46"/>
  <c r="E53" s="1"/>
  <c r="H41"/>
  <c r="H43" s="1"/>
  <c r="H46" s="1"/>
  <c r="I39"/>
  <c r="I39" i="1"/>
  <c r="H41"/>
  <c r="F53" i="5" l="1"/>
  <c r="G53" s="1"/>
  <c r="H53" s="1"/>
  <c r="I41"/>
  <c r="I43" s="1"/>
  <c r="I46" s="1"/>
  <c r="J39"/>
  <c r="J39" i="1"/>
  <c r="I41"/>
  <c r="I53" i="5" l="1"/>
  <c r="J41"/>
  <c r="J43" s="1"/>
  <c r="J46" s="1"/>
  <c r="K39"/>
  <c r="K39" i="1"/>
  <c r="J41"/>
  <c r="J53" i="5" l="1"/>
  <c r="K41"/>
  <c r="K43" s="1"/>
  <c r="K46" s="1"/>
  <c r="L39"/>
  <c r="L39" i="1"/>
  <c r="K41"/>
  <c r="K53" i="5" l="1"/>
  <c r="L41"/>
  <c r="L43" s="1"/>
  <c r="L46" s="1"/>
  <c r="M39"/>
  <c r="M39" i="1"/>
  <c r="L41"/>
  <c r="L53" i="5" l="1"/>
  <c r="M41"/>
  <c r="M43" s="1"/>
  <c r="M46" s="1"/>
  <c r="N39"/>
  <c r="N39" i="1"/>
  <c r="M41"/>
  <c r="M53" i="5" l="1"/>
  <c r="N41"/>
  <c r="N43" s="1"/>
  <c r="N46" s="1"/>
  <c r="O39"/>
  <c r="O39" i="1"/>
  <c r="N41"/>
  <c r="N53" i="5" l="1"/>
  <c r="O41"/>
  <c r="O43" s="1"/>
  <c r="O46" s="1"/>
  <c r="P39"/>
  <c r="P39" i="1"/>
  <c r="O41"/>
  <c r="O53" i="5" l="1"/>
  <c r="P41"/>
  <c r="P43" s="1"/>
  <c r="P46" s="1"/>
  <c r="Q39"/>
  <c r="Q39" i="1"/>
  <c r="P41"/>
  <c r="P53" i="5" l="1"/>
  <c r="Q41"/>
  <c r="Q43" s="1"/>
  <c r="Q46" s="1"/>
  <c r="R39"/>
  <c r="R39" i="1"/>
  <c r="Q41"/>
  <c r="Q53" i="5" l="1"/>
  <c r="R41"/>
  <c r="R43" s="1"/>
  <c r="R46" s="1"/>
  <c r="S39"/>
  <c r="S39" i="1"/>
  <c r="R41"/>
  <c r="R53" i="5" l="1"/>
  <c r="S41"/>
  <c r="S43" s="1"/>
  <c r="S46" s="1"/>
  <c r="T39"/>
  <c r="T39" i="1"/>
  <c r="S41"/>
  <c r="S53" i="5" l="1"/>
  <c r="T41"/>
  <c r="T43" s="1"/>
  <c r="T46" s="1"/>
  <c r="U39"/>
  <c r="U39" i="1"/>
  <c r="T41"/>
  <c r="T53" i="5" l="1"/>
  <c r="U41"/>
  <c r="U43" s="1"/>
  <c r="U46" s="1"/>
  <c r="V39"/>
  <c r="V39" i="1"/>
  <c r="U41"/>
  <c r="U53" i="5" l="1"/>
  <c r="V41"/>
  <c r="V43" s="1"/>
  <c r="V46" s="1"/>
  <c r="W39"/>
  <c r="W39" i="1"/>
  <c r="V41"/>
  <c r="V53" i="5" l="1"/>
  <c r="W41"/>
  <c r="W43" s="1"/>
  <c r="W46" s="1"/>
  <c r="X39"/>
  <c r="X41" s="1"/>
  <c r="X43" s="1"/>
  <c r="X46" s="1"/>
  <c r="X39" i="1"/>
  <c r="X41" s="1"/>
  <c r="W41"/>
  <c r="W53" i="5" l="1"/>
  <c r="X53" s="1"/>
  <c r="AC13" i="1"/>
  <c r="AC14"/>
  <c r="AH14" s="1"/>
  <c r="AC15"/>
  <c r="AH15" s="1"/>
  <c r="AC16"/>
  <c r="AH16" s="1"/>
  <c r="AC17"/>
  <c r="AH17" s="1"/>
  <c r="AC18"/>
  <c r="AH18" s="1"/>
  <c r="AL1"/>
  <c r="AO1" s="1"/>
  <c r="AQ1" s="1"/>
  <c r="AG23" l="1"/>
  <c r="AH23"/>
  <c r="AG25"/>
  <c r="AH25"/>
  <c r="AG26"/>
  <c r="AH26"/>
  <c r="AG27"/>
  <c r="AH27"/>
  <c r="AG28"/>
  <c r="AH28"/>
  <c r="AG24"/>
  <c r="AO25"/>
  <c r="AQ25" s="1"/>
  <c r="AO24"/>
  <c r="AQ24" s="1"/>
  <c r="AO23"/>
  <c r="AQ23" s="1"/>
  <c r="AO22"/>
  <c r="AQ22" s="1"/>
  <c r="AO21"/>
  <c r="AQ21" s="1"/>
  <c r="AO16"/>
  <c r="AQ16" s="1"/>
  <c r="AO19"/>
  <c r="AQ19" s="1"/>
  <c r="AO18"/>
  <c r="AQ18" s="1"/>
  <c r="AO17"/>
  <c r="AQ17" s="1"/>
  <c r="AO15"/>
  <c r="AQ15" s="1"/>
  <c r="AO14"/>
  <c r="AQ14" s="1"/>
  <c r="AO13"/>
  <c r="AQ13" s="1"/>
  <c r="AO7"/>
  <c r="AQ7" s="1"/>
  <c r="AO12"/>
  <c r="AQ12" s="1"/>
  <c r="AO11"/>
  <c r="AQ11" s="1"/>
  <c r="AO8"/>
  <c r="AQ8" s="1"/>
  <c r="AO10"/>
  <c r="AQ10" s="1"/>
  <c r="AO9"/>
  <c r="AQ9" s="1"/>
  <c r="AO6"/>
  <c r="AQ6" s="1"/>
  <c r="AO5"/>
  <c r="AQ5" s="1"/>
  <c r="AO3"/>
  <c r="AQ3" s="1"/>
  <c r="AO2"/>
  <c r="AQ2" s="1"/>
  <c r="AL28"/>
  <c r="AF28"/>
  <c r="AL27"/>
  <c r="AF27"/>
  <c r="AL26"/>
  <c r="AF26"/>
  <c r="AL25"/>
  <c r="AF25"/>
  <c r="AL24"/>
  <c r="AF24"/>
  <c r="AH24" s="1"/>
  <c r="AL23"/>
  <c r="AF23"/>
  <c r="AN18"/>
  <c r="AM17"/>
  <c r="AM15"/>
  <c r="AM13"/>
  <c r="AG17"/>
  <c r="AG16"/>
  <c r="AG14"/>
  <c r="AG13"/>
  <c r="AG18"/>
  <c r="AL18"/>
  <c r="AL17"/>
  <c r="AL16"/>
  <c r="AN16" s="1"/>
  <c r="AL15"/>
  <c r="AL14"/>
  <c r="AL13"/>
  <c r="AF13"/>
  <c r="AM25" l="1"/>
  <c r="AN25"/>
  <c r="AM26"/>
  <c r="AN26"/>
  <c r="AM24"/>
  <c r="AN24"/>
  <c r="AM28"/>
  <c r="AN28"/>
  <c r="AM23"/>
  <c r="AN23"/>
  <c r="AM27"/>
  <c r="AN27"/>
  <c r="AQ27"/>
  <c r="AN14"/>
  <c r="AM18"/>
  <c r="AN17"/>
  <c r="AM16"/>
  <c r="AM14"/>
  <c r="AN15"/>
  <c r="AN13"/>
  <c r="AG15"/>
  <c r="AG19" s="1"/>
  <c r="AH13"/>
  <c r="AM29" l="1"/>
  <c r="F18"/>
  <c r="F19"/>
  <c r="AH29"/>
  <c r="AG29"/>
  <c r="AN29"/>
  <c r="AN19"/>
  <c r="AM19"/>
  <c r="AH19"/>
  <c r="E19" l="1"/>
  <c r="D19" s="1"/>
  <c r="E18"/>
  <c r="D18" s="1"/>
  <c r="E44" l="1"/>
  <c r="U44"/>
  <c r="Q44"/>
  <c r="M44"/>
  <c r="I44"/>
  <c r="V44"/>
  <c r="R44"/>
  <c r="N44"/>
  <c r="J44"/>
  <c r="F44"/>
  <c r="W44"/>
  <c r="S44"/>
  <c r="O44"/>
  <c r="K44"/>
  <c r="G44"/>
  <c r="X44"/>
  <c r="T44"/>
  <c r="P44"/>
  <c r="L44"/>
  <c r="H44"/>
  <c r="E43"/>
  <c r="E46" s="1"/>
  <c r="E53" s="1"/>
  <c r="U43"/>
  <c r="Q43"/>
  <c r="M43"/>
  <c r="I43"/>
  <c r="V43"/>
  <c r="R43"/>
  <c r="N43"/>
  <c r="J43"/>
  <c r="F43"/>
  <c r="W43"/>
  <c r="S43"/>
  <c r="O43"/>
  <c r="K43"/>
  <c r="G43"/>
  <c r="X43"/>
  <c r="T43"/>
  <c r="P43"/>
  <c r="L43"/>
  <c r="H43"/>
  <c r="F46" l="1"/>
  <c r="F53" s="1"/>
  <c r="I46"/>
  <c r="U46"/>
  <c r="O46"/>
  <c r="V46"/>
  <c r="L46"/>
  <c r="G46"/>
  <c r="W46"/>
  <c r="R46"/>
  <c r="Q46"/>
  <c r="T46"/>
  <c r="J46"/>
  <c r="P46"/>
  <c r="K46"/>
  <c r="H46"/>
  <c r="X46"/>
  <c r="S46"/>
  <c r="N46"/>
  <c r="M46"/>
  <c r="G53" l="1"/>
  <c r="H53" s="1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</calcChain>
</file>

<file path=xl/sharedStrings.xml><?xml version="1.0" encoding="utf-8"?>
<sst xmlns="http://schemas.openxmlformats.org/spreadsheetml/2006/main" count="289" uniqueCount="96">
  <si>
    <t>Primo semestre</t>
  </si>
  <si>
    <t>Secondo Semestre</t>
  </si>
  <si>
    <t>Terzo semestre</t>
  </si>
  <si>
    <t>Quarto semestre</t>
  </si>
  <si>
    <t>Quinto semestre</t>
  </si>
  <si>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</si>
  <si>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</si>
  <si>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</si>
  <si>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</si>
  <si>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</si>
  <si>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</si>
  <si>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</si>
  <si>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</si>
  <si>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</si>
  <si>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</si>
  <si>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</si>
  <si>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</si>
  <si>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</si>
  <si>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</si>
  <si>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</si>
  <si>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</si>
  <si>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</si>
  <si>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</si>
  <si>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</si>
  <si>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Tipo di impianto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</si>
  <si>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</si>
  <si>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</si>
  <si>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</si>
  <si>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</si>
  <si>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</si>
  <si>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</si>
  <si>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</si>
  <si>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</si>
  <si>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</si>
  <si>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</si>
  <si>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Leggere sulla bolletta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</si>
  <si>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</si>
  <si>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</si>
  <si>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</si>
  <si>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</si>
  <si>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</si>
  <si>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</si>
  <si>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</si>
  <si>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Domestico 30%</t>
  </si>
  <si>
    <t>Domestico 50%</t>
  </si>
  <si>
    <t>Domestico 40%</t>
  </si>
  <si>
    <t>Valori dal 30-50% (domestico) al 50-70% (industriale)</t>
  </si>
  <si>
    <t>Industriale 50%</t>
  </si>
  <si>
    <t>Industriale 70%</t>
  </si>
  <si>
    <t>Industriale 60%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</si>
  <si>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</si>
  <si>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</si>
  <si>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</si>
  <si>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</si>
  <si>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</si>
  <si>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</si>
  <si>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</si>
  <si>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</si>
  <si>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</si>
  <si>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</si>
  <si>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</si>
  <si>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</si>
  <si>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</si>
  <si>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</si>
  <si>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</si>
  <si>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</si>
  <si>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</si>
  <si>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</si>
  <si>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</si>
  <si>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</si>
  <si>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</si>
  <si>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</si>
  <si>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</si>
  <si>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</si>
  <si>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</si>
  <si>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</si>
  <si>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</si>
  <si>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</si>
  <si>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</si>
  <si>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</si>
  <si>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</si>
  <si>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</si>
  <si>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</si>
  <si>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</si>
  <si>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Domestico 60%</t>
  </si>
  <si>
    <t>Domestico 70%</t>
  </si>
  <si>
    <t>Industriale 80%</t>
  </si>
  <si>
    <t>Produttività (con decadimento pannelli 1% annuo)</t>
  </si>
  <si>
    <t>Costo Totale</t>
  </si>
  <si>
    <t>1-20</t>
  </si>
  <si>
    <t>&gt;200</t>
  </si>
  <si>
    <t>Calcolo impianto fotovoltaico Quinto Conto Energia (Impianti Titolo II)</t>
  </si>
  <si>
    <t>Inserimento manuale</t>
  </si>
  <si>
    <t>kWh/kW</t>
  </si>
  <si>
    <t>Dati da inserire</t>
  </si>
  <si>
    <t>Calcoli automatici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</si>
</sst>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4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4" fillId="0" borderId="6" xfId="0" applyFont="1" applyBorder="1" applyProtection="1"/>
    <xf numFmtId="0" fontId="1" fillId="0" borderId="7" xfId="0" applyFont="1" applyBorder="1" applyProtection="1"/>
    <xf numFmtId="0" fontId="4" fillId="0" borderId="7" xfId="0" applyFont="1" applyBorder="1" applyAlignment="1" applyProtection="1">
      <alignment horizontal="left"/>
    </xf>
    <xf numFmtId="0" fontId="1" fillId="0" borderId="8" xfId="0" applyFont="1" applyBorder="1" applyProtection="1"/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4" fillId="3" borderId="26" xfId="0" applyFont="1" applyFill="1" applyBorder="1" applyProtection="1"/>
    <xf numFmtId="0" fontId="1" fillId="3" borderId="27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9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3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30" xfId="0" applyFont="1" applyBorder="1" applyProtection="1"/>
    <xf numFmtId="0" fontId="1" fillId="0" borderId="16" xfId="0" applyFont="1" applyBorder="1" applyProtection="1"/>
    <xf numFmtId="0" fontId="4" fillId="0" borderId="30" xfId="0" applyFont="1" applyBorder="1" applyProtection="1"/>
    <xf numFmtId="0" fontId="4" fillId="0" borderId="31" xfId="0" applyFont="1" applyBorder="1" applyProtection="1"/>
    <xf numFmtId="0" fontId="1" fillId="0" borderId="19" xfId="0" applyFont="1" applyBorder="1" applyProtection="1"/>
    <xf numFmtId="164" fontId="7" fillId="2" borderId="19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7" fontId="4" fillId="3" borderId="27" xfId="0" applyNumberFormat="1" applyFont="1" applyFill="1" applyBorder="1" applyAlignment="1" applyProtection="1">
      <alignment horizontal="center"/>
    </xf>
    <xf numFmtId="167" fontId="4" fillId="3" borderId="28" xfId="0" applyNumberFormat="1" applyFont="1" applyFill="1" applyBorder="1" applyAlignment="1" applyProtection="1">
      <alignment horizontal="center"/>
    </xf>
    <xf numFmtId="0" fontId="8" fillId="0" borderId="0" xfId="1" applyFont="1" applyBorder="1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32"/>
  <sheetViews>
    <sheetView tabSelected="1" zoomScaleNormal="100" workbookViewId="0">
      <selection activeCell="H3" sqref="H3:L5"/>
    </sheetView>
  </sheetViews>
  <sheetFormatPr defaultRowHeight="15"/>
  <cols>
    <col min="1" max="1" width="14.7109375" style="8" customWidth="1"/>
    <col min="2" max="2" width="19.85546875" style="8" customWidth="1"/>
    <col min="3" max="3" width="10.28515625" style="8" customWidth="1"/>
    <col min="4" max="4" width="10.42578125" style="8" customWidth="1"/>
    <col min="5" max="24" width="8.85546875" style="8" customWidth="1"/>
    <col min="25" max="29" width="9.140625" style="8" customWidth="1"/>
    <col min="30" max="30" width="10.85546875" style="8" customWidth="1"/>
    <col min="31" max="32" width="9.140625" style="8" customWidth="1"/>
    <col min="33" max="33" width="7.42578125" style="8" customWidth="1"/>
    <col min="34" max="34" width="7" style="8" customWidth="1"/>
    <col min="35" max="36" width="9.140625" style="8" customWidth="1"/>
    <col min="37" max="37" width="8.5703125" style="8" customWidth="1"/>
    <col min="38" max="38" width="9.140625" style="8" customWidth="1"/>
    <col min="39" max="39" width="7.28515625" style="8" customWidth="1"/>
    <col min="40" max="40" width="8" style="8" customWidth="1"/>
    <col min="41" max="41" width="9.140625" style="8" customWidth="1"/>
    <col min="42" max="42" width="9.140625" style="27" customWidth="1"/>
    <col min="43" max="46" width="9.140625" style="8" customWidth="1"/>
    <col min="47" max="16384" width="9.140625" style="8"/>
  </cols>
  <sheetData>
    <row r="1" spans="1:43" s="3" customFormat="1" ht="18.75">
      <c r="A1" s="3" t="s">
        <v>91</v>
      </c>
      <c r="AC1" s="137">
        <v>1</v>
      </c>
      <c r="AD1" s="4" t="s">
        <v>0</v>
      </c>
      <c r="AE1" s="5"/>
      <c r="AG1" s="4" t="s">
        <v>23</v>
      </c>
      <c r="AH1" s="4"/>
      <c r="AI1" s="4"/>
      <c r="AJ1" s="4">
        <v>1</v>
      </c>
      <c r="AK1" s="4">
        <v>3</v>
      </c>
      <c r="AL1" s="6">
        <f>C3</f>
        <v>6</v>
      </c>
      <c r="AM1" s="4"/>
      <c r="AN1" s="4"/>
      <c r="AO1" s="4" t="b">
        <f>AND($AJ$1=1,$AK$1=1,$AL$1&lt;20)</f>
        <v>0</v>
      </c>
      <c r="AP1" s="7">
        <v>0</v>
      </c>
      <c r="AQ1" s="4">
        <f>IF(AO1=TRUE,AP1,0)</f>
        <v>0</v>
      </c>
    </row>
    <row r="2" spans="1:43" ht="15.75" thickBot="1">
      <c r="AC2" s="142"/>
      <c r="AD2" s="4" t="s">
        <v>1</v>
      </c>
      <c r="AE2" s="9"/>
      <c r="AG2" s="4" t="s">
        <v>22</v>
      </c>
      <c r="AH2" s="4"/>
      <c r="AI2" s="4"/>
      <c r="AJ2" s="4"/>
      <c r="AO2" s="4" t="b">
        <f>AND($AJ$1=1,$AK$1=2,$AL$1&lt;20)</f>
        <v>0</v>
      </c>
      <c r="AP2" s="7">
        <v>30</v>
      </c>
      <c r="AQ2" s="4">
        <f>IF(AO2=TRUE,AP2,0)</f>
        <v>0</v>
      </c>
    </row>
    <row r="3" spans="1:43" ht="16.5" thickBot="1">
      <c r="A3" s="10" t="s">
        <v>11</v>
      </c>
      <c r="B3" s="11"/>
      <c r="C3" s="92">
        <v>6</v>
      </c>
      <c r="D3" s="12" t="s">
        <v>18</v>
      </c>
      <c r="H3" s="131"/>
      <c r="J3" s="144" t="s">
        <v>94</v>
      </c>
      <c r="K3" s="144"/>
      <c r="L3" s="144"/>
      <c r="AC3" s="142"/>
      <c r="AD3" s="4" t="s">
        <v>2</v>
      </c>
      <c r="AE3" s="9"/>
      <c r="AG3" s="4" t="s">
        <v>21</v>
      </c>
      <c r="AH3" s="4"/>
      <c r="AI3" s="4"/>
      <c r="AJ3" s="4"/>
      <c r="AO3" s="4" t="b">
        <f>AND($AJ$1=1,$AK$1=3,$AL$1&lt;20)</f>
        <v>1</v>
      </c>
      <c r="AP3" s="7">
        <v>20</v>
      </c>
      <c r="AQ3" s="4">
        <f t="shared" ref="AQ3:AQ25" si="0">IF(AO3=TRUE,AP3,0)</f>
        <v>20</v>
      </c>
    </row>
    <row r="4" spans="1:43" ht="16.5" thickBot="1">
      <c r="A4" s="13"/>
      <c r="B4" s="13"/>
      <c r="C4" s="14"/>
      <c r="D4" s="13"/>
      <c r="J4" s="132"/>
      <c r="K4" s="132"/>
      <c r="L4" s="132"/>
      <c r="AC4" s="142"/>
      <c r="AD4" s="4" t="s">
        <v>3</v>
      </c>
      <c r="AE4" s="9"/>
      <c r="AG4" s="4"/>
      <c r="AH4" s="4"/>
      <c r="AI4" s="4"/>
      <c r="AJ4" s="4"/>
      <c r="AO4" s="4"/>
      <c r="AP4" s="7"/>
      <c r="AQ4" s="4"/>
    </row>
    <row r="5" spans="1:43" ht="15.75">
      <c r="A5" s="15"/>
      <c r="B5" s="16"/>
      <c r="C5" s="16"/>
      <c r="D5" s="16"/>
      <c r="E5" s="17"/>
      <c r="F5" s="18"/>
      <c r="H5" s="130"/>
      <c r="J5" s="144" t="s">
        <v>95</v>
      </c>
      <c r="K5" s="144"/>
      <c r="L5" s="144"/>
      <c r="AC5" s="142"/>
      <c r="AD5" s="4" t="s">
        <v>4</v>
      </c>
      <c r="AE5" s="9"/>
      <c r="AG5" s="19"/>
      <c r="AO5" s="4" t="b">
        <f>AND($AJ$1=1,$AK$1=4,$AL$1&lt;20)</f>
        <v>0</v>
      </c>
      <c r="AP5" s="20">
        <v>50</v>
      </c>
      <c r="AQ5" s="4">
        <f t="shared" si="0"/>
        <v>0</v>
      </c>
    </row>
    <row r="6" spans="1:43" ht="16.5" thickBot="1">
      <c r="A6" s="135" t="s">
        <v>20</v>
      </c>
      <c r="B6" s="136"/>
      <c r="C6" s="136"/>
      <c r="D6" s="13"/>
      <c r="E6" s="4"/>
      <c r="F6" s="9"/>
      <c r="AD6" s="4"/>
      <c r="AG6" s="19"/>
      <c r="AO6" s="4" t="b">
        <f>AND($AJ$1=2,$AK$1=1,$AL$1&lt;20)</f>
        <v>0</v>
      </c>
      <c r="AP6" s="7">
        <v>0</v>
      </c>
      <c r="AQ6" s="4">
        <f t="shared" si="0"/>
        <v>0</v>
      </c>
    </row>
    <row r="7" spans="1:43" ht="15.75">
      <c r="A7" s="21"/>
      <c r="B7" s="13"/>
      <c r="C7" s="13"/>
      <c r="D7" s="13"/>
      <c r="E7" s="4"/>
      <c r="F7" s="9"/>
      <c r="AC7" s="137">
        <v>1</v>
      </c>
      <c r="AD7" s="17" t="s">
        <v>5</v>
      </c>
      <c r="AE7" s="18"/>
      <c r="AO7" s="4" t="b">
        <f>AND($AJ$1=2,$AK$1=2,$AL$1&lt;20)</f>
        <v>0</v>
      </c>
      <c r="AP7" s="20">
        <v>20</v>
      </c>
      <c r="AQ7" s="4">
        <f t="shared" si="0"/>
        <v>0</v>
      </c>
    </row>
    <row r="8" spans="1:43" ht="16.5" thickBot="1">
      <c r="A8" s="135" t="s">
        <v>19</v>
      </c>
      <c r="B8" s="136"/>
      <c r="C8" s="136"/>
      <c r="D8" s="13"/>
      <c r="E8" s="4"/>
      <c r="F8" s="9"/>
      <c r="AC8" s="138"/>
      <c r="AD8" s="22" t="s">
        <v>6</v>
      </c>
      <c r="AE8" s="23"/>
      <c r="AO8" s="4" t="b">
        <f>AND($AJ$1=2,$AK$1=3,$AL$1&lt;20)</f>
        <v>0</v>
      </c>
      <c r="AP8" s="20">
        <v>10</v>
      </c>
      <c r="AQ8" s="4">
        <f t="shared" si="0"/>
        <v>0</v>
      </c>
    </row>
    <row r="9" spans="1:43" ht="15.75">
      <c r="A9" s="21"/>
      <c r="B9" s="13"/>
      <c r="C9" s="13"/>
      <c r="D9" s="13"/>
      <c r="E9" s="4"/>
      <c r="F9" s="9"/>
      <c r="AO9" s="4" t="b">
        <f>AND($AJ$1=2,$AK$1=4,$AL$1&lt;20)</f>
        <v>0</v>
      </c>
      <c r="AP9" s="20">
        <v>30</v>
      </c>
      <c r="AQ9" s="4">
        <f t="shared" si="0"/>
        <v>0</v>
      </c>
    </row>
    <row r="10" spans="1:43" ht="16.5" thickBot="1">
      <c r="A10" s="135" t="s">
        <v>24</v>
      </c>
      <c r="B10" s="136"/>
      <c r="C10" s="136"/>
      <c r="D10" s="13"/>
      <c r="E10" s="4"/>
      <c r="F10" s="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" t="b">
        <f>AND($AJ$1=3,$AK$1=1,$AL$1&lt;20)</f>
        <v>0</v>
      </c>
      <c r="AP10" s="7">
        <v>0</v>
      </c>
      <c r="AQ10" s="4">
        <f t="shared" si="0"/>
        <v>0</v>
      </c>
    </row>
    <row r="11" spans="1:43">
      <c r="A11" s="25"/>
      <c r="B11" s="4"/>
      <c r="C11" s="4"/>
      <c r="D11" s="4"/>
      <c r="E11" s="4"/>
      <c r="F11" s="9"/>
      <c r="AC11" s="26"/>
      <c r="AD11" s="17"/>
      <c r="AE11" s="139" t="s">
        <v>9</v>
      </c>
      <c r="AF11" s="140"/>
      <c r="AG11" s="27"/>
      <c r="AH11" s="27"/>
      <c r="AI11" s="28"/>
      <c r="AJ11" s="17"/>
      <c r="AK11" s="139" t="s">
        <v>10</v>
      </c>
      <c r="AL11" s="140"/>
      <c r="AM11" s="4"/>
      <c r="AN11" s="4"/>
      <c r="AO11" s="4" t="b">
        <f>AND($AJ$1=3,$AK$1=2,$AL$1&lt;20)</f>
        <v>0</v>
      </c>
      <c r="AP11" s="20">
        <v>10</v>
      </c>
      <c r="AQ11" s="4">
        <f t="shared" si="0"/>
        <v>0</v>
      </c>
    </row>
    <row r="12" spans="1:43" ht="15.75">
      <c r="A12" s="29"/>
      <c r="B12" s="30"/>
      <c r="C12" s="30"/>
      <c r="D12" s="4"/>
      <c r="E12" s="4"/>
      <c r="F12" s="9"/>
      <c r="AC12" s="25"/>
      <c r="AD12" s="4"/>
      <c r="AE12" s="7" t="s">
        <v>7</v>
      </c>
      <c r="AF12" s="31" t="s">
        <v>8</v>
      </c>
      <c r="AG12" s="27"/>
      <c r="AH12" s="27"/>
      <c r="AI12" s="32"/>
      <c r="AJ12" s="4"/>
      <c r="AK12" s="7" t="s">
        <v>7</v>
      </c>
      <c r="AL12" s="31" t="s">
        <v>8</v>
      </c>
      <c r="AM12" s="33"/>
      <c r="AN12" s="33"/>
      <c r="AO12" s="4" t="b">
        <f>AND($AJ$1=3,$AK$1=3,$AL$1&lt;20)</f>
        <v>0</v>
      </c>
      <c r="AP12" s="20">
        <v>5</v>
      </c>
      <c r="AQ12" s="4">
        <f t="shared" si="0"/>
        <v>0</v>
      </c>
    </row>
    <row r="13" spans="1:43" ht="15.75">
      <c r="A13" s="135" t="s">
        <v>25</v>
      </c>
      <c r="B13" s="136"/>
      <c r="C13" s="136"/>
      <c r="D13" s="4"/>
      <c r="E13" s="4"/>
      <c r="F13" s="9"/>
      <c r="AC13" s="25" t="b">
        <f>AND($AC$1=1,$AC$7=1,$C$3&lt;=3,$C$3&gt;=1)</f>
        <v>0</v>
      </c>
      <c r="AD13" s="34" t="s">
        <v>12</v>
      </c>
      <c r="AE13" s="7">
        <v>208</v>
      </c>
      <c r="AF13" s="31">
        <f t="shared" ref="AF13:AF18" si="1">AE13-82</f>
        <v>126</v>
      </c>
      <c r="AG13" s="27">
        <f t="shared" ref="AG13:AG18" si="2">IF(AC13=TRUE,AE13,0)</f>
        <v>0</v>
      </c>
      <c r="AH13" s="27">
        <f t="shared" ref="AH13:AH18" si="3">IF(AC13=TRUE,AF13,0)</f>
        <v>0</v>
      </c>
      <c r="AI13" s="25" t="b">
        <f>AND($AC$1=1,$AC$7=2,$C$3&lt;=3,$C$3&gt;=1)</f>
        <v>0</v>
      </c>
      <c r="AJ13" s="34" t="s">
        <v>12</v>
      </c>
      <c r="AK13" s="7">
        <v>201</v>
      </c>
      <c r="AL13" s="31">
        <f t="shared" ref="AL13:AL18" si="4">AK13-82</f>
        <v>119</v>
      </c>
      <c r="AM13" s="7">
        <f>IF(AI13=TRUE,AK13,0)</f>
        <v>0</v>
      </c>
      <c r="AN13" s="7">
        <f>IF(AI13=TRUE,AL13,0)</f>
        <v>0</v>
      </c>
      <c r="AO13" s="4" t="b">
        <f>AND($AJ$1=3,$AK$1=4,$AL$1&lt;20)</f>
        <v>0</v>
      </c>
      <c r="AP13" s="20">
        <v>15</v>
      </c>
      <c r="AQ13" s="4">
        <f t="shared" si="0"/>
        <v>0</v>
      </c>
    </row>
    <row r="14" spans="1:43">
      <c r="A14" s="25"/>
      <c r="B14" s="4"/>
      <c r="C14" s="4"/>
      <c r="D14" s="4"/>
      <c r="E14" s="4"/>
      <c r="F14" s="9"/>
      <c r="AC14" s="25" t="b">
        <f>AND($AC$1=1,$AC$7=1,$C$3&lt;=20,$C$3&gt;3)</f>
        <v>1</v>
      </c>
      <c r="AD14" s="34" t="s">
        <v>13</v>
      </c>
      <c r="AE14" s="7">
        <v>196</v>
      </c>
      <c r="AF14" s="31">
        <f t="shared" si="1"/>
        <v>114</v>
      </c>
      <c r="AG14" s="27">
        <f t="shared" si="2"/>
        <v>196</v>
      </c>
      <c r="AH14" s="107">
        <f t="shared" si="3"/>
        <v>114</v>
      </c>
      <c r="AI14" s="25" t="b">
        <f>AND($AC$1=1,$AC$7=2,$C$3&lt;=20,$C$3&gt;3)</f>
        <v>0</v>
      </c>
      <c r="AJ14" s="34" t="s">
        <v>13</v>
      </c>
      <c r="AK14" s="7">
        <v>189</v>
      </c>
      <c r="AL14" s="31">
        <f t="shared" si="4"/>
        <v>107</v>
      </c>
      <c r="AM14" s="7">
        <f t="shared" ref="AM14:AM18" si="5">IF(AI14=TRUE,AK14,0)</f>
        <v>0</v>
      </c>
      <c r="AN14" s="7">
        <f t="shared" ref="AN14:AN18" si="6">IF(AI14=TRUE,AL14,0)</f>
        <v>0</v>
      </c>
      <c r="AO14" s="4" t="b">
        <f>AND($AJ$1=1,$AK$1=1,$AL$1&gt;20)</f>
        <v>0</v>
      </c>
      <c r="AP14" s="27">
        <v>0</v>
      </c>
      <c r="AQ14" s="4">
        <f t="shared" si="0"/>
        <v>0</v>
      </c>
    </row>
    <row r="15" spans="1:43" ht="22.5" customHeight="1" thickBot="1">
      <c r="A15" s="35"/>
      <c r="B15" s="22"/>
      <c r="C15" s="22"/>
      <c r="D15" s="22"/>
      <c r="E15" s="22"/>
      <c r="F15" s="23"/>
      <c r="AC15" s="25" t="b">
        <f>AND($AC$1=1,$AC$7=1,$C$3&lt;=200,$C$3&gt;20)</f>
        <v>0</v>
      </c>
      <c r="AD15" s="34" t="s">
        <v>14</v>
      </c>
      <c r="AE15" s="7">
        <v>175</v>
      </c>
      <c r="AF15" s="31">
        <f t="shared" si="1"/>
        <v>93</v>
      </c>
      <c r="AG15" s="27">
        <f t="shared" si="2"/>
        <v>0</v>
      </c>
      <c r="AH15" s="107">
        <f t="shared" si="3"/>
        <v>0</v>
      </c>
      <c r="AI15" s="25" t="b">
        <f>AND($AC$1=1,$AC$7=2,$C$3&lt;=200,$C$3&gt;20)</f>
        <v>0</v>
      </c>
      <c r="AJ15" s="34" t="s">
        <v>14</v>
      </c>
      <c r="AK15" s="7">
        <v>168</v>
      </c>
      <c r="AL15" s="31">
        <f t="shared" si="4"/>
        <v>86</v>
      </c>
      <c r="AM15" s="7">
        <f t="shared" si="5"/>
        <v>0</v>
      </c>
      <c r="AN15" s="7">
        <f t="shared" si="6"/>
        <v>0</v>
      </c>
      <c r="AO15" s="4" t="b">
        <f>AND($AJ$1=1,$AK$1=2,$AL$1&gt;20)</f>
        <v>0</v>
      </c>
      <c r="AP15" s="27">
        <v>20</v>
      </c>
      <c r="AQ15" s="4">
        <f t="shared" si="0"/>
        <v>0</v>
      </c>
    </row>
    <row r="16" spans="1:43" ht="13.5" customHeight="1" thickBot="1">
      <c r="AC16" s="25" t="b">
        <f>AND($AC$1=1,$AC$7=1,$C$3&lt;=1000,$C$3&gt;200)</f>
        <v>0</v>
      </c>
      <c r="AD16" s="34" t="s">
        <v>15</v>
      </c>
      <c r="AE16" s="7">
        <v>142</v>
      </c>
      <c r="AF16" s="31">
        <f t="shared" si="1"/>
        <v>60</v>
      </c>
      <c r="AG16" s="27">
        <f t="shared" si="2"/>
        <v>0</v>
      </c>
      <c r="AH16" s="107">
        <f t="shared" si="3"/>
        <v>0</v>
      </c>
      <c r="AI16" s="25" t="b">
        <f>AND($AC$1=1,$AC$7=2,$C$3&lt;=1000,$C$3&gt;200)</f>
        <v>0</v>
      </c>
      <c r="AJ16" s="34" t="s">
        <v>15</v>
      </c>
      <c r="AK16" s="7">
        <v>135</v>
      </c>
      <c r="AL16" s="31">
        <f t="shared" si="4"/>
        <v>53</v>
      </c>
      <c r="AM16" s="7">
        <f t="shared" si="5"/>
        <v>0</v>
      </c>
      <c r="AN16" s="7">
        <f t="shared" si="6"/>
        <v>0</v>
      </c>
      <c r="AO16" s="4" t="b">
        <f>AND($AJ$1=1,$AK$1=3,$AL$1&gt;20)</f>
        <v>0</v>
      </c>
      <c r="AP16" s="27">
        <v>20</v>
      </c>
      <c r="AQ16" s="4">
        <f t="shared" si="0"/>
        <v>0</v>
      </c>
    </row>
    <row r="17" spans="1:44" ht="15.75" thickBot="1">
      <c r="D17" s="36" t="s">
        <v>29</v>
      </c>
      <c r="E17" s="37" t="s">
        <v>28</v>
      </c>
      <c r="F17" s="38" t="s">
        <v>30</v>
      </c>
      <c r="AC17" s="25" t="b">
        <f>AND($AC$1=1,$AC$7=1,$C$3&lt;=5000,$C$3&gt;1000)</f>
        <v>0</v>
      </c>
      <c r="AD17" s="34" t="s">
        <v>16</v>
      </c>
      <c r="AE17" s="7">
        <v>126</v>
      </c>
      <c r="AF17" s="31">
        <f t="shared" si="1"/>
        <v>44</v>
      </c>
      <c r="AG17" s="27">
        <f t="shared" si="2"/>
        <v>0</v>
      </c>
      <c r="AH17" s="107">
        <f t="shared" si="3"/>
        <v>0</v>
      </c>
      <c r="AI17" s="25" t="b">
        <f>AND($AC$1=1,$AC$7=2,$C$3&lt;=5000,$C$3&gt;1000)</f>
        <v>0</v>
      </c>
      <c r="AJ17" s="34" t="s">
        <v>16</v>
      </c>
      <c r="AK17" s="7">
        <v>120</v>
      </c>
      <c r="AL17" s="31">
        <f t="shared" si="4"/>
        <v>38</v>
      </c>
      <c r="AM17" s="7">
        <f t="shared" si="5"/>
        <v>0</v>
      </c>
      <c r="AN17" s="7">
        <f t="shared" si="6"/>
        <v>0</v>
      </c>
      <c r="AO17" s="4" t="b">
        <f>AND($AJ$1=1,$AK$1=4,$AL$1&gt;20)</f>
        <v>0</v>
      </c>
      <c r="AP17" s="27">
        <v>40</v>
      </c>
      <c r="AQ17" s="4">
        <f t="shared" si="0"/>
        <v>0</v>
      </c>
    </row>
    <row r="18" spans="1:44" ht="15.75" thickBot="1">
      <c r="A18" s="39" t="s">
        <v>26</v>
      </c>
      <c r="B18" s="40"/>
      <c r="C18" s="41"/>
      <c r="D18" s="42">
        <f>E18+F18</f>
        <v>216</v>
      </c>
      <c r="E18" s="7">
        <f>AG19+AG29+AG39+AG51+AG65+AM19+AM29+AM39+AM51+AM65</f>
        <v>196</v>
      </c>
      <c r="F18" s="43">
        <f>AQ27</f>
        <v>20</v>
      </c>
      <c r="AC18" s="35" t="b">
        <f>AND($AC$1=1,$AC$7=1,$C$3&gt;5000)</f>
        <v>0</v>
      </c>
      <c r="AD18" s="44" t="s">
        <v>17</v>
      </c>
      <c r="AE18" s="45">
        <v>119</v>
      </c>
      <c r="AF18" s="31">
        <f t="shared" si="1"/>
        <v>37</v>
      </c>
      <c r="AG18" s="27">
        <f t="shared" si="2"/>
        <v>0</v>
      </c>
      <c r="AH18" s="107">
        <f t="shared" si="3"/>
        <v>0</v>
      </c>
      <c r="AI18" s="35" t="b">
        <f>AND($AC$1=1,$AC$7=2,$C$3&gt;5000)</f>
        <v>0</v>
      </c>
      <c r="AJ18" s="44" t="s">
        <v>17</v>
      </c>
      <c r="AK18" s="45">
        <v>113</v>
      </c>
      <c r="AL18" s="46">
        <f t="shared" si="4"/>
        <v>31</v>
      </c>
      <c r="AM18" s="7">
        <f t="shared" si="5"/>
        <v>0</v>
      </c>
      <c r="AN18" s="7">
        <f t="shared" si="6"/>
        <v>0</v>
      </c>
      <c r="AO18" s="4" t="b">
        <f>AND($AJ$1=2,$AK$1=1,$AL$1&gt;20)</f>
        <v>0</v>
      </c>
      <c r="AP18" s="27">
        <v>0</v>
      </c>
      <c r="AQ18" s="4">
        <f t="shared" si="0"/>
        <v>0</v>
      </c>
    </row>
    <row r="19" spans="1:44" ht="15.75" thickBot="1">
      <c r="A19" s="47" t="s">
        <v>27</v>
      </c>
      <c r="B19" s="48"/>
      <c r="C19" s="49"/>
      <c r="D19" s="50">
        <f>E19+F19</f>
        <v>134</v>
      </c>
      <c r="E19" s="51">
        <f>AH19+AH29+AH39+AH51+AH65+AN19+AN29+AN39+AN51+AN65</f>
        <v>114</v>
      </c>
      <c r="F19" s="52">
        <f>AQ27</f>
        <v>20</v>
      </c>
      <c r="AE19" s="27"/>
      <c r="AF19" s="27"/>
      <c r="AG19" s="53">
        <f>SUM(AG13:AG18)</f>
        <v>196</v>
      </c>
      <c r="AH19" s="54">
        <f>SUM(AH13:AH18)</f>
        <v>114</v>
      </c>
      <c r="AJ19" s="27"/>
      <c r="AK19" s="27"/>
      <c r="AL19" s="27"/>
      <c r="AM19" s="53">
        <f>SUM(AM13:AM18)</f>
        <v>0</v>
      </c>
      <c r="AN19" s="53">
        <f>SUM(AN13:AN18)</f>
        <v>0</v>
      </c>
      <c r="AO19" s="4" t="b">
        <f>AND($AJ$1=2,$AK$1=2,$AL$1&gt;20)</f>
        <v>0</v>
      </c>
      <c r="AP19" s="27">
        <v>10</v>
      </c>
      <c r="AQ19" s="4">
        <f t="shared" si="0"/>
        <v>0</v>
      </c>
    </row>
    <row r="20" spans="1:44" ht="24" customHeight="1">
      <c r="A20" s="55"/>
      <c r="B20" s="4"/>
      <c r="C20" s="4"/>
      <c r="D20" s="56"/>
      <c r="E20" s="7"/>
      <c r="F20" s="7"/>
      <c r="AE20" s="27"/>
      <c r="AF20" s="27"/>
      <c r="AG20" s="7"/>
      <c r="AH20" s="7"/>
      <c r="AJ20" s="27"/>
      <c r="AK20" s="27"/>
      <c r="AL20" s="27"/>
      <c r="AM20" s="7"/>
      <c r="AN20" s="7"/>
      <c r="AO20" s="4"/>
      <c r="AQ20" s="4"/>
    </row>
    <row r="21" spans="1:44" ht="12.7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AE21" s="141"/>
      <c r="AF21" s="141"/>
      <c r="AG21" s="27"/>
      <c r="AH21" s="27"/>
      <c r="AJ21" s="27"/>
      <c r="AK21" s="141"/>
      <c r="AL21" s="141"/>
      <c r="AM21" s="27"/>
      <c r="AN21" s="27"/>
      <c r="AO21" s="4" t="b">
        <f>AND($AJ$1=2,$AK$1=3,$AL$1&gt;20)</f>
        <v>0</v>
      </c>
      <c r="AP21" s="27">
        <v>10</v>
      </c>
      <c r="AQ21" s="4">
        <f t="shared" si="0"/>
        <v>0</v>
      </c>
    </row>
    <row r="22" spans="1:44" s="61" customFormat="1" ht="22.5" customHeight="1">
      <c r="A22" s="120" t="s">
        <v>50</v>
      </c>
      <c r="B22" s="2"/>
      <c r="C22" s="1">
        <v>1150</v>
      </c>
      <c r="D22" s="59" t="s">
        <v>93</v>
      </c>
      <c r="E22" s="114"/>
      <c r="F22" s="114"/>
      <c r="G22" s="114" t="s">
        <v>32</v>
      </c>
      <c r="H22" s="114"/>
      <c r="I22" s="114"/>
      <c r="J22" s="75"/>
      <c r="K22" s="121"/>
      <c r="AC22" s="62"/>
      <c r="AD22" s="63"/>
      <c r="AE22" s="64" t="s">
        <v>7</v>
      </c>
      <c r="AF22" s="65" t="s">
        <v>8</v>
      </c>
      <c r="AG22" s="66"/>
      <c r="AH22" s="66"/>
      <c r="AI22" s="62"/>
      <c r="AJ22" s="63"/>
      <c r="AK22" s="64" t="s">
        <v>7</v>
      </c>
      <c r="AL22" s="65" t="s">
        <v>8</v>
      </c>
      <c r="AM22" s="64"/>
      <c r="AN22" s="64"/>
      <c r="AO22" s="61" t="b">
        <f>AND($AJ$1=3,$AK$1=1,$AL$1&gt;20)</f>
        <v>0</v>
      </c>
      <c r="AP22" s="66">
        <v>0</v>
      </c>
      <c r="AQ22" s="61">
        <f t="shared" si="0"/>
        <v>0</v>
      </c>
    </row>
    <row r="23" spans="1:44" s="70" customFormat="1" ht="15.75">
      <c r="A23" s="122" t="s">
        <v>33</v>
      </c>
      <c r="B23" s="13"/>
      <c r="C23" s="68">
        <f>$C$3*C22</f>
        <v>6900</v>
      </c>
      <c r="D23" s="113" t="s">
        <v>31</v>
      </c>
      <c r="E23" s="13"/>
      <c r="F23" s="13"/>
      <c r="G23" s="13"/>
      <c r="H23" s="13"/>
      <c r="I23" s="13"/>
      <c r="J23" s="13"/>
      <c r="K23" s="123"/>
      <c r="AC23" s="25" t="b">
        <f>AND($AC$1=2,$AC$7=1,$C$3&lt;=3,$C$3&gt;=1)</f>
        <v>0</v>
      </c>
      <c r="AD23" s="34" t="s">
        <v>12</v>
      </c>
      <c r="AE23" s="71">
        <v>182</v>
      </c>
      <c r="AF23" s="72">
        <f t="shared" ref="AF23:AF28" si="7">AE23-82</f>
        <v>100</v>
      </c>
      <c r="AG23" s="107">
        <f t="shared" ref="AG23:AG28" si="8">IF(AC23=TRUE,AE23,0)</f>
        <v>0</v>
      </c>
      <c r="AH23" s="107">
        <f t="shared" ref="AH23:AH28" si="9">IF(AC23=TRUE,AF23,0)</f>
        <v>0</v>
      </c>
      <c r="AI23" s="25" t="b">
        <f>AND($AC$1=2,$AC$7=2,$C$3&lt;=3,$C$3&gt;=1)</f>
        <v>0</v>
      </c>
      <c r="AJ23" s="34" t="s">
        <v>12</v>
      </c>
      <c r="AK23" s="71">
        <v>176</v>
      </c>
      <c r="AL23" s="72">
        <f t="shared" ref="AL23:AL28" si="10">AK23-82</f>
        <v>94</v>
      </c>
      <c r="AM23" s="7">
        <f>IF(AI23=TRUE,AK23,0)</f>
        <v>0</v>
      </c>
      <c r="AN23" s="7">
        <f>IF(AI23=TRUE,AL23,0)</f>
        <v>0</v>
      </c>
      <c r="AO23" s="13" t="b">
        <f>AND($AJ$1=3,$AK$1=2,$AL$1&gt;20)</f>
        <v>0</v>
      </c>
      <c r="AP23" s="73">
        <v>5</v>
      </c>
      <c r="AQ23" s="13">
        <f t="shared" si="0"/>
        <v>0</v>
      </c>
    </row>
    <row r="24" spans="1:44" s="70" customFormat="1" ht="15.75">
      <c r="A24" s="122" t="s">
        <v>34</v>
      </c>
      <c r="B24" s="13"/>
      <c r="C24" s="1">
        <v>2500</v>
      </c>
      <c r="D24" s="113" t="s">
        <v>31</v>
      </c>
      <c r="E24" s="143" t="s">
        <v>35</v>
      </c>
      <c r="F24" s="143"/>
      <c r="G24" s="143"/>
      <c r="H24" s="143"/>
      <c r="I24" s="113"/>
      <c r="J24" s="13"/>
      <c r="K24" s="123"/>
      <c r="AC24" s="25" t="b">
        <f>AND($AC$1=2,$AC$7=1,$C$3&lt;=20,$C$3&gt;3)</f>
        <v>0</v>
      </c>
      <c r="AD24" s="34" t="s">
        <v>13</v>
      </c>
      <c r="AE24" s="71">
        <v>171</v>
      </c>
      <c r="AF24" s="72">
        <f t="shared" si="7"/>
        <v>89</v>
      </c>
      <c r="AG24" s="107">
        <f t="shared" si="8"/>
        <v>0</v>
      </c>
      <c r="AH24" s="107">
        <f t="shared" si="9"/>
        <v>0</v>
      </c>
      <c r="AI24" s="25" t="b">
        <f>AND($AC$1=2,$AC$7=2,$C$3&lt;=20,$C$3&gt;3)</f>
        <v>0</v>
      </c>
      <c r="AJ24" s="34" t="s">
        <v>13</v>
      </c>
      <c r="AK24" s="71">
        <v>165</v>
      </c>
      <c r="AL24" s="72">
        <f t="shared" si="10"/>
        <v>83</v>
      </c>
      <c r="AM24" s="7">
        <f t="shared" ref="AM24:AM28" si="11">IF(AI24=TRUE,AK24,0)</f>
        <v>0</v>
      </c>
      <c r="AN24" s="7">
        <f t="shared" ref="AN24:AN28" si="12">IF(AI24=TRUE,AL24,0)</f>
        <v>0</v>
      </c>
      <c r="AO24" s="13" t="b">
        <f>AND($AJ$1=3,$AK$1=3,$AL$1&gt;20)</f>
        <v>0</v>
      </c>
      <c r="AP24" s="73">
        <v>5</v>
      </c>
      <c r="AQ24" s="13">
        <f t="shared" si="0"/>
        <v>0</v>
      </c>
    </row>
    <row r="25" spans="1:44" s="70" customFormat="1" ht="15.75">
      <c r="A25" s="122"/>
      <c r="B25" s="13"/>
      <c r="C25" s="74"/>
      <c r="D25" s="112"/>
      <c r="E25" s="112"/>
      <c r="F25" s="112"/>
      <c r="G25" s="112"/>
      <c r="H25" s="112"/>
      <c r="I25" s="112"/>
      <c r="J25" s="13"/>
      <c r="K25" s="123"/>
      <c r="AC25" s="25" t="b">
        <f>AND($AC$1=2,$AC$7=1,$C$3&lt;=200,$C$3&gt;20)</f>
        <v>0</v>
      </c>
      <c r="AD25" s="34" t="s">
        <v>14</v>
      </c>
      <c r="AE25" s="71">
        <v>157</v>
      </c>
      <c r="AF25" s="72">
        <f t="shared" si="7"/>
        <v>75</v>
      </c>
      <c r="AG25" s="107">
        <f t="shared" si="8"/>
        <v>0</v>
      </c>
      <c r="AH25" s="107">
        <f t="shared" si="9"/>
        <v>0</v>
      </c>
      <c r="AI25" s="25" t="b">
        <f>AND($AC$1=2,$AC$7=2,$C$3&lt;=200,$C$3&gt;20)</f>
        <v>0</v>
      </c>
      <c r="AJ25" s="34" t="s">
        <v>14</v>
      </c>
      <c r="AK25" s="71">
        <v>151</v>
      </c>
      <c r="AL25" s="72">
        <f t="shared" si="10"/>
        <v>69</v>
      </c>
      <c r="AM25" s="7">
        <f t="shared" si="11"/>
        <v>0</v>
      </c>
      <c r="AN25" s="7">
        <f t="shared" si="12"/>
        <v>0</v>
      </c>
      <c r="AO25" s="13" t="b">
        <f>AND($AJ$1=3,$AK$1=4,$AL$1&gt;20)</f>
        <v>0</v>
      </c>
      <c r="AP25" s="73">
        <v>10</v>
      </c>
      <c r="AQ25" s="13">
        <f t="shared" si="0"/>
        <v>0</v>
      </c>
    </row>
    <row r="26" spans="1:44" s="61" customFormat="1" ht="22.5" customHeight="1">
      <c r="A26" s="120" t="s">
        <v>36</v>
      </c>
      <c r="B26" s="2"/>
      <c r="C26" s="58">
        <f>C24/100*AR40</f>
        <v>1250</v>
      </c>
      <c r="D26" s="59" t="s">
        <v>31</v>
      </c>
      <c r="E26" s="75" t="s">
        <v>46</v>
      </c>
      <c r="F26" s="75"/>
      <c r="G26" s="75"/>
      <c r="H26" s="75"/>
      <c r="I26" s="59"/>
      <c r="J26" s="75"/>
      <c r="K26" s="121"/>
      <c r="AC26" s="25" t="b">
        <f>AND($AC$1=2,$AC$7=1,$C$3&lt;=1000,$C$3&gt;200)</f>
        <v>0</v>
      </c>
      <c r="AD26" s="34" t="s">
        <v>15</v>
      </c>
      <c r="AE26" s="64">
        <v>130</v>
      </c>
      <c r="AF26" s="65">
        <f t="shared" si="7"/>
        <v>48</v>
      </c>
      <c r="AG26" s="107">
        <f t="shared" si="8"/>
        <v>0</v>
      </c>
      <c r="AH26" s="107">
        <f t="shared" si="9"/>
        <v>0</v>
      </c>
      <c r="AI26" s="25" t="b">
        <f>AND($AC$1=2,$AC$7=2,$C$3&lt;=1000,$C$3&gt;200)</f>
        <v>0</v>
      </c>
      <c r="AJ26" s="34" t="s">
        <v>15</v>
      </c>
      <c r="AK26" s="64">
        <v>124</v>
      </c>
      <c r="AL26" s="65">
        <f t="shared" si="10"/>
        <v>42</v>
      </c>
      <c r="AM26" s="7">
        <f t="shared" si="11"/>
        <v>0</v>
      </c>
      <c r="AN26" s="7">
        <f t="shared" si="12"/>
        <v>0</v>
      </c>
      <c r="AP26" s="66"/>
    </row>
    <row r="27" spans="1:44" s="70" customFormat="1" ht="15.75">
      <c r="A27" s="124" t="s">
        <v>37</v>
      </c>
      <c r="B27" s="77"/>
      <c r="C27" s="68">
        <f>C23-C26</f>
        <v>5650</v>
      </c>
      <c r="D27" s="113" t="s">
        <v>31</v>
      </c>
      <c r="E27" s="77"/>
      <c r="F27" s="77"/>
      <c r="G27" s="77"/>
      <c r="H27" s="77"/>
      <c r="I27" s="77"/>
      <c r="J27" s="77"/>
      <c r="K27" s="123"/>
      <c r="AC27" s="25" t="b">
        <f>AND($AC$1=2,$AC$7=1,$C$3&lt;=5000,$C$3&gt;1000)</f>
        <v>0</v>
      </c>
      <c r="AD27" s="34" t="s">
        <v>16</v>
      </c>
      <c r="AE27" s="71">
        <v>118</v>
      </c>
      <c r="AF27" s="72">
        <f t="shared" si="7"/>
        <v>36</v>
      </c>
      <c r="AG27" s="107">
        <f t="shared" si="8"/>
        <v>0</v>
      </c>
      <c r="AH27" s="107">
        <f t="shared" si="9"/>
        <v>0</v>
      </c>
      <c r="AI27" s="25" t="b">
        <f>AND($AC$1=2,$AC$7=2,$C$3&lt;=5000,$C$3&gt;1000)</f>
        <v>0</v>
      </c>
      <c r="AJ27" s="34" t="s">
        <v>16</v>
      </c>
      <c r="AK27" s="71">
        <v>113</v>
      </c>
      <c r="AL27" s="72">
        <f t="shared" si="10"/>
        <v>31</v>
      </c>
      <c r="AM27" s="7">
        <f t="shared" si="11"/>
        <v>0</v>
      </c>
      <c r="AN27" s="7">
        <f t="shared" si="12"/>
        <v>0</v>
      </c>
      <c r="AP27" s="73"/>
      <c r="AQ27" s="79">
        <f>SUM(AQ1:AQ26)</f>
        <v>20</v>
      </c>
    </row>
    <row r="28" spans="1:44" s="70" customFormat="1" ht="16.5" thickBot="1">
      <c r="A28" s="124" t="s">
        <v>38</v>
      </c>
      <c r="B28" s="13"/>
      <c r="C28" s="68">
        <f>C24-C26</f>
        <v>1250</v>
      </c>
      <c r="D28" s="113" t="s">
        <v>31</v>
      </c>
      <c r="E28" s="13"/>
      <c r="F28" s="13"/>
      <c r="G28" s="13"/>
      <c r="H28" s="13"/>
      <c r="I28" s="13"/>
      <c r="J28" s="13"/>
      <c r="K28" s="123"/>
      <c r="AC28" s="35" t="b">
        <f>AND($AC$1=2,$AC$7=1,$C$3&gt;5000)</f>
        <v>0</v>
      </c>
      <c r="AD28" s="44" t="s">
        <v>17</v>
      </c>
      <c r="AE28" s="80">
        <v>112</v>
      </c>
      <c r="AF28" s="81">
        <f t="shared" si="7"/>
        <v>30</v>
      </c>
      <c r="AG28" s="107">
        <f t="shared" si="8"/>
        <v>0</v>
      </c>
      <c r="AH28" s="107">
        <f t="shared" si="9"/>
        <v>0</v>
      </c>
      <c r="AI28" s="35" t="b">
        <f>AND($AC$1=2,$AC$7=2,$C$3&gt;5000)</f>
        <v>0</v>
      </c>
      <c r="AJ28" s="44" t="s">
        <v>17</v>
      </c>
      <c r="AK28" s="80">
        <v>106</v>
      </c>
      <c r="AL28" s="81">
        <f t="shared" si="10"/>
        <v>24</v>
      </c>
      <c r="AM28" s="7">
        <f t="shared" si="11"/>
        <v>0</v>
      </c>
      <c r="AN28" s="7">
        <f t="shared" si="12"/>
        <v>0</v>
      </c>
      <c r="AP28" s="73"/>
    </row>
    <row r="29" spans="1:44" s="70" customFormat="1" ht="16.5" thickBot="1">
      <c r="A29" s="124"/>
      <c r="B29" s="13"/>
      <c r="C29" s="68"/>
      <c r="D29" s="113"/>
      <c r="E29" s="13"/>
      <c r="F29" s="13"/>
      <c r="G29" s="13"/>
      <c r="H29" s="13"/>
      <c r="I29" s="13"/>
      <c r="J29" s="13"/>
      <c r="K29" s="123"/>
      <c r="AE29" s="73"/>
      <c r="AF29" s="73"/>
      <c r="AG29" s="82">
        <f>SUM(AG23:AG28)</f>
        <v>0</v>
      </c>
      <c r="AH29" s="83">
        <f>SUM(AH23:AH28)</f>
        <v>0</v>
      </c>
      <c r="AJ29" s="73"/>
      <c r="AK29" s="73"/>
      <c r="AL29" s="73"/>
      <c r="AM29" s="82">
        <f>SUM(AM23:AM28)</f>
        <v>0</v>
      </c>
      <c r="AN29" s="82">
        <f>SUM(AN23:AN28)</f>
        <v>0</v>
      </c>
      <c r="AP29" s="73"/>
    </row>
    <row r="30" spans="1:44" s="70" customFormat="1" ht="15.75">
      <c r="A30" s="124" t="s">
        <v>39</v>
      </c>
      <c r="B30" s="13"/>
      <c r="C30" s="1">
        <v>2000</v>
      </c>
      <c r="D30" s="113" t="s">
        <v>40</v>
      </c>
      <c r="E30" s="115" t="s">
        <v>88</v>
      </c>
      <c r="F30" s="116"/>
      <c r="G30" s="134">
        <f>C30*C3</f>
        <v>12000</v>
      </c>
      <c r="H30" s="134"/>
      <c r="I30" s="13"/>
      <c r="J30" s="13"/>
      <c r="K30" s="123"/>
      <c r="AP30" s="84" t="s">
        <v>43</v>
      </c>
      <c r="AR30" s="70">
        <f>IF($AP$40=1,30,0)</f>
        <v>0</v>
      </c>
    </row>
    <row r="31" spans="1:44" s="70" customFormat="1" ht="15.75">
      <c r="A31" s="124" t="s">
        <v>41</v>
      </c>
      <c r="B31" s="13"/>
      <c r="C31" s="1">
        <v>150</v>
      </c>
      <c r="D31" s="113" t="s">
        <v>40</v>
      </c>
      <c r="E31" s="13"/>
      <c r="F31" s="13"/>
      <c r="G31" s="13"/>
      <c r="H31" s="13"/>
      <c r="I31" s="13"/>
      <c r="J31" s="13"/>
      <c r="K31" s="123"/>
      <c r="AP31" s="84" t="s">
        <v>45</v>
      </c>
      <c r="AR31" s="70">
        <f>IF($AP$40=2,40,0)</f>
        <v>0</v>
      </c>
    </row>
    <row r="32" spans="1:44" s="70" customFormat="1" ht="15.75">
      <c r="A32" s="124" t="s">
        <v>51</v>
      </c>
      <c r="B32" s="13"/>
      <c r="C32" s="1">
        <v>50</v>
      </c>
      <c r="D32" s="113" t="s">
        <v>40</v>
      </c>
      <c r="E32" s="13"/>
      <c r="F32" s="13"/>
      <c r="G32" s="13"/>
      <c r="H32" s="13"/>
      <c r="I32" s="13"/>
      <c r="J32" s="13"/>
      <c r="K32" s="123"/>
      <c r="AC32" s="62"/>
      <c r="AD32" s="63"/>
      <c r="AE32" s="64" t="s">
        <v>7</v>
      </c>
      <c r="AF32" s="65" t="s">
        <v>8</v>
      </c>
      <c r="AG32" s="66"/>
      <c r="AH32" s="66"/>
      <c r="AI32" s="62"/>
      <c r="AJ32" s="63"/>
      <c r="AK32" s="64" t="s">
        <v>7</v>
      </c>
      <c r="AL32" s="65" t="s">
        <v>8</v>
      </c>
      <c r="AM32" s="64"/>
      <c r="AN32" s="64"/>
      <c r="AP32" s="84" t="s">
        <v>44</v>
      </c>
      <c r="AR32" s="70">
        <f>IF($AP$40=3,50,0)</f>
        <v>50</v>
      </c>
    </row>
    <row r="33" spans="1:44" s="70" customFormat="1" ht="15.75">
      <c r="A33" s="124" t="s">
        <v>42</v>
      </c>
      <c r="B33" s="13"/>
      <c r="C33" s="90">
        <v>0.18</v>
      </c>
      <c r="D33" s="113" t="s">
        <v>40</v>
      </c>
      <c r="E33" s="13"/>
      <c r="F33" s="13"/>
      <c r="G33" s="13"/>
      <c r="H33" s="13"/>
      <c r="I33" s="13"/>
      <c r="J33" s="13"/>
      <c r="K33" s="123"/>
      <c r="AC33" s="25" t="b">
        <f>AND($AC$1=3,$AC$7=1,$C$3&lt;=3,$C$3&gt;=1)</f>
        <v>0</v>
      </c>
      <c r="AD33" s="34" t="s">
        <v>12</v>
      </c>
      <c r="AE33" s="71">
        <v>157</v>
      </c>
      <c r="AF33" s="72">
        <f t="shared" ref="AF33:AF38" si="13">AE33-82</f>
        <v>75</v>
      </c>
      <c r="AG33" s="107">
        <f t="shared" ref="AG33:AG38" si="14">IF(AC33=TRUE,AE33,0)</f>
        <v>0</v>
      </c>
      <c r="AH33" s="107">
        <f t="shared" ref="AH33:AH38" si="15">IF(AC33=TRUE,AF33,0)</f>
        <v>0</v>
      </c>
      <c r="AI33" s="25" t="b">
        <f>AND($AC$1=3,$AC$7=2,$C$3&lt;=3,$C$3&gt;=1)</f>
        <v>0</v>
      </c>
      <c r="AJ33" s="34" t="s">
        <v>12</v>
      </c>
      <c r="AK33" s="71">
        <v>152</v>
      </c>
      <c r="AL33" s="72">
        <f t="shared" ref="AL33:AL38" si="16">AK33-82</f>
        <v>70</v>
      </c>
      <c r="AM33" s="7">
        <f>IF(AI33=TRUE,AK33,0)</f>
        <v>0</v>
      </c>
      <c r="AN33" s="7">
        <f>IF(AI33=TRUE,AL33,0)</f>
        <v>0</v>
      </c>
      <c r="AP33" s="84" t="s">
        <v>84</v>
      </c>
      <c r="AR33" s="70">
        <f>IF($AP$40=4,60,0)</f>
        <v>0</v>
      </c>
    </row>
    <row r="34" spans="1:44" s="70" customFormat="1" ht="15.75">
      <c r="A34" s="125" t="s">
        <v>83</v>
      </c>
      <c r="B34" s="126"/>
      <c r="C34" s="127">
        <v>1</v>
      </c>
      <c r="D34" s="128" t="s">
        <v>82</v>
      </c>
      <c r="E34" s="126"/>
      <c r="F34" s="126"/>
      <c r="G34" s="126"/>
      <c r="H34" s="126"/>
      <c r="I34" s="126"/>
      <c r="J34" s="126"/>
      <c r="K34" s="129"/>
      <c r="AC34" s="25" t="b">
        <f>AND($AC$1=3,$AC$7=1,$C$3&lt;=20,$C$3&gt;3)</f>
        <v>0</v>
      </c>
      <c r="AD34" s="34" t="s">
        <v>13</v>
      </c>
      <c r="AE34" s="71">
        <v>149</v>
      </c>
      <c r="AF34" s="72">
        <f t="shared" si="13"/>
        <v>67</v>
      </c>
      <c r="AG34" s="107">
        <f t="shared" si="14"/>
        <v>0</v>
      </c>
      <c r="AH34" s="107">
        <f t="shared" si="15"/>
        <v>0</v>
      </c>
      <c r="AI34" s="25" t="b">
        <f>AND($AC$1=3,$AC$7=2,$C$3&lt;=20,$C$3&gt;3)</f>
        <v>0</v>
      </c>
      <c r="AJ34" s="34" t="s">
        <v>13</v>
      </c>
      <c r="AK34" s="71">
        <v>144</v>
      </c>
      <c r="AL34" s="72">
        <f t="shared" si="16"/>
        <v>62</v>
      </c>
      <c r="AM34" s="7">
        <f t="shared" ref="AM34:AM38" si="17">IF(AI34=TRUE,AK34,0)</f>
        <v>0</v>
      </c>
      <c r="AN34" s="7">
        <f t="shared" ref="AN34:AN38" si="18">IF(AI34=TRUE,AL34,0)</f>
        <v>0</v>
      </c>
      <c r="AP34" s="84" t="s">
        <v>85</v>
      </c>
      <c r="AR34" s="70">
        <f>IF($AP$40=5,70,0)</f>
        <v>0</v>
      </c>
    </row>
    <row r="35" spans="1:44" ht="15.75">
      <c r="AC35" s="25" t="b">
        <f>AND($AC$1=3,$AC$7=1,$C$3&lt;=200,$C$3&gt;20)</f>
        <v>0</v>
      </c>
      <c r="AD35" s="34" t="s">
        <v>14</v>
      </c>
      <c r="AE35" s="71">
        <v>141</v>
      </c>
      <c r="AF35" s="72">
        <f t="shared" si="13"/>
        <v>59</v>
      </c>
      <c r="AG35" s="107">
        <f t="shared" si="14"/>
        <v>0</v>
      </c>
      <c r="AH35" s="107">
        <f t="shared" si="15"/>
        <v>0</v>
      </c>
      <c r="AI35" s="25" t="b">
        <f>AND($AC$1=3,$AC$7=2,$C$3&lt;=200,$C$3&gt;20)</f>
        <v>0</v>
      </c>
      <c r="AJ35" s="34" t="s">
        <v>14</v>
      </c>
      <c r="AK35" s="71">
        <v>136</v>
      </c>
      <c r="AL35" s="72">
        <f t="shared" si="16"/>
        <v>54</v>
      </c>
      <c r="AM35" s="7">
        <f t="shared" si="17"/>
        <v>0</v>
      </c>
      <c r="AN35" s="7">
        <f t="shared" si="18"/>
        <v>0</v>
      </c>
      <c r="AP35" s="84" t="s">
        <v>47</v>
      </c>
      <c r="AR35" s="70">
        <f>IF($AP$40=6,50,0)</f>
        <v>0</v>
      </c>
    </row>
    <row r="36" spans="1:44" ht="15.75">
      <c r="AC36" s="25" t="b">
        <f>AND($AC$1=3,$AC$7=1,$C$3&lt;=1000,$C$3&gt;200)</f>
        <v>0</v>
      </c>
      <c r="AD36" s="34" t="s">
        <v>15</v>
      </c>
      <c r="AE36" s="64">
        <v>118</v>
      </c>
      <c r="AF36" s="65">
        <f t="shared" si="13"/>
        <v>36</v>
      </c>
      <c r="AG36" s="107">
        <f t="shared" si="14"/>
        <v>0</v>
      </c>
      <c r="AH36" s="107">
        <f t="shared" si="15"/>
        <v>0</v>
      </c>
      <c r="AI36" s="25" t="b">
        <f>AND($AC$1=3,$AC$7=2,$C$3&lt;=1000,$C$3&gt;200)</f>
        <v>0</v>
      </c>
      <c r="AJ36" s="34" t="s">
        <v>15</v>
      </c>
      <c r="AK36" s="64">
        <v>113</v>
      </c>
      <c r="AL36" s="65">
        <f t="shared" si="16"/>
        <v>31</v>
      </c>
      <c r="AM36" s="7">
        <f t="shared" si="17"/>
        <v>0</v>
      </c>
      <c r="AN36" s="7">
        <f t="shared" si="18"/>
        <v>0</v>
      </c>
      <c r="AP36" s="84" t="s">
        <v>49</v>
      </c>
      <c r="AR36" s="70">
        <f>IF($AP$40=7,60,0)</f>
        <v>0</v>
      </c>
    </row>
    <row r="37" spans="1:44" ht="15.75">
      <c r="A37" s="89"/>
      <c r="B37" s="89"/>
      <c r="C37" s="89"/>
      <c r="D37" s="89"/>
      <c r="E37" s="94" t="s">
        <v>59</v>
      </c>
      <c r="F37" s="94" t="s">
        <v>63</v>
      </c>
      <c r="G37" s="94" t="s">
        <v>64</v>
      </c>
      <c r="H37" s="94" t="s">
        <v>65</v>
      </c>
      <c r="I37" s="94" t="s">
        <v>66</v>
      </c>
      <c r="J37" s="94" t="s">
        <v>67</v>
      </c>
      <c r="K37" s="94" t="s">
        <v>68</v>
      </c>
      <c r="L37" s="94" t="s">
        <v>69</v>
      </c>
      <c r="M37" s="94" t="s">
        <v>70</v>
      </c>
      <c r="N37" s="94" t="s">
        <v>71</v>
      </c>
      <c r="O37" s="94" t="s">
        <v>72</v>
      </c>
      <c r="P37" s="94" t="s">
        <v>73</v>
      </c>
      <c r="Q37" s="94" t="s">
        <v>74</v>
      </c>
      <c r="R37" s="94" t="s">
        <v>75</v>
      </c>
      <c r="S37" s="94" t="s">
        <v>76</v>
      </c>
      <c r="T37" s="94" t="s">
        <v>77</v>
      </c>
      <c r="U37" s="94" t="s">
        <v>78</v>
      </c>
      <c r="V37" s="94" t="s">
        <v>79</v>
      </c>
      <c r="W37" s="94" t="s">
        <v>80</v>
      </c>
      <c r="X37" s="94" t="s">
        <v>81</v>
      </c>
      <c r="AC37" s="25" t="b">
        <f>AND($AC$1=3,$AC$7=1,$C$3&lt;=5000,$C$3&gt;1000)</f>
        <v>0</v>
      </c>
      <c r="AD37" s="34" t="s">
        <v>16</v>
      </c>
      <c r="AE37" s="71">
        <v>110</v>
      </c>
      <c r="AF37" s="72">
        <f t="shared" si="13"/>
        <v>28</v>
      </c>
      <c r="AG37" s="107">
        <f t="shared" si="14"/>
        <v>0</v>
      </c>
      <c r="AH37" s="107">
        <f t="shared" si="15"/>
        <v>0</v>
      </c>
      <c r="AI37" s="25" t="b">
        <f>AND($AC$1=3,$AC$7=2,$C$3&lt;=5000,$C$3&gt;1000)</f>
        <v>0</v>
      </c>
      <c r="AJ37" s="34" t="s">
        <v>16</v>
      </c>
      <c r="AK37" s="71">
        <v>106</v>
      </c>
      <c r="AL37" s="72">
        <f t="shared" si="16"/>
        <v>24</v>
      </c>
      <c r="AM37" s="7">
        <f t="shared" si="17"/>
        <v>0</v>
      </c>
      <c r="AN37" s="7">
        <f t="shared" si="18"/>
        <v>0</v>
      </c>
      <c r="AP37" s="84" t="s">
        <v>48</v>
      </c>
      <c r="AR37" s="70">
        <f>IF($AP$40=8,70,0)</f>
        <v>0</v>
      </c>
    </row>
    <row r="38" spans="1:44" ht="16.5" thickBot="1">
      <c r="A38" s="89"/>
      <c r="B38" s="89"/>
      <c r="C38" s="89"/>
      <c r="D38" s="89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AC38" s="35" t="b">
        <f>AND($AC$1=3,$AC$7=1,$C$3&gt;5000)</f>
        <v>0</v>
      </c>
      <c r="AD38" s="44" t="s">
        <v>17</v>
      </c>
      <c r="AE38" s="80">
        <v>104</v>
      </c>
      <c r="AF38" s="81">
        <f t="shared" si="13"/>
        <v>22</v>
      </c>
      <c r="AG38" s="107">
        <f t="shared" si="14"/>
        <v>0</v>
      </c>
      <c r="AH38" s="107">
        <f t="shared" si="15"/>
        <v>0</v>
      </c>
      <c r="AI38" s="35" t="b">
        <f>AND($AC$1=3,$AC$7=2,$C$3&gt;5000)</f>
        <v>0</v>
      </c>
      <c r="AJ38" s="44" t="s">
        <v>17</v>
      </c>
      <c r="AK38" s="80">
        <v>99</v>
      </c>
      <c r="AL38" s="81">
        <f t="shared" si="16"/>
        <v>17</v>
      </c>
      <c r="AM38" s="7">
        <f t="shared" si="17"/>
        <v>0</v>
      </c>
      <c r="AN38" s="7">
        <f t="shared" si="18"/>
        <v>0</v>
      </c>
      <c r="AP38" s="84" t="s">
        <v>86</v>
      </c>
      <c r="AR38" s="70">
        <f>IF($AP$40=9,80,0)</f>
        <v>0</v>
      </c>
    </row>
    <row r="39" spans="1:44" ht="16.5" thickBot="1">
      <c r="A39" s="93" t="s">
        <v>87</v>
      </c>
      <c r="B39" s="89"/>
      <c r="C39" s="89"/>
      <c r="D39" s="89"/>
      <c r="E39" s="96">
        <f>C23</f>
        <v>6900</v>
      </c>
      <c r="F39" s="96">
        <f>E39*0.99</f>
        <v>6831</v>
      </c>
      <c r="G39" s="96">
        <f t="shared" ref="G39:X39" si="19">F39*0.99</f>
        <v>6762.69</v>
      </c>
      <c r="H39" s="96">
        <f t="shared" si="19"/>
        <v>6695.0630999999994</v>
      </c>
      <c r="I39" s="96">
        <f t="shared" si="19"/>
        <v>6628.1124689999997</v>
      </c>
      <c r="J39" s="96">
        <f t="shared" si="19"/>
        <v>6561.8313443099996</v>
      </c>
      <c r="K39" s="96">
        <f t="shared" si="19"/>
        <v>6496.2130308668993</v>
      </c>
      <c r="L39" s="96">
        <f t="shared" si="19"/>
        <v>6431.2509005582306</v>
      </c>
      <c r="M39" s="96">
        <f t="shared" si="19"/>
        <v>6366.9383915526478</v>
      </c>
      <c r="N39" s="96">
        <f t="shared" si="19"/>
        <v>6303.2690076371209</v>
      </c>
      <c r="O39" s="96">
        <f t="shared" si="19"/>
        <v>6240.2363175607497</v>
      </c>
      <c r="P39" s="96">
        <f t="shared" si="19"/>
        <v>6177.8339543851425</v>
      </c>
      <c r="Q39" s="96">
        <f t="shared" si="19"/>
        <v>6116.0556148412907</v>
      </c>
      <c r="R39" s="96">
        <f t="shared" si="19"/>
        <v>6054.8950586928777</v>
      </c>
      <c r="S39" s="96">
        <f t="shared" si="19"/>
        <v>5994.3461081059486</v>
      </c>
      <c r="T39" s="96">
        <f t="shared" si="19"/>
        <v>5934.4026470248891</v>
      </c>
      <c r="U39" s="96">
        <f t="shared" si="19"/>
        <v>5875.0586205546406</v>
      </c>
      <c r="V39" s="96">
        <f t="shared" si="19"/>
        <v>5816.3080343490938</v>
      </c>
      <c r="W39" s="96">
        <f t="shared" si="19"/>
        <v>5758.1449540056028</v>
      </c>
      <c r="X39" s="96">
        <f t="shared" si="19"/>
        <v>5700.5635044655464</v>
      </c>
      <c r="AC39" s="70"/>
      <c r="AD39" s="70"/>
      <c r="AE39" s="73"/>
      <c r="AF39" s="73"/>
      <c r="AG39" s="82">
        <f>SUM(AG33:AG38)</f>
        <v>0</v>
      </c>
      <c r="AH39" s="83">
        <f>SUM(AH33:AH38)</f>
        <v>0</v>
      </c>
      <c r="AI39" s="70"/>
      <c r="AJ39" s="73"/>
      <c r="AK39" s="73"/>
      <c r="AL39" s="73"/>
      <c r="AM39" s="82">
        <f>SUM(AM33:AM38)</f>
        <v>0</v>
      </c>
      <c r="AN39" s="82">
        <f>SUM(AN33:AN38)</f>
        <v>0</v>
      </c>
      <c r="AP39" s="84"/>
      <c r="AR39" s="70"/>
    </row>
    <row r="40" spans="1:44" ht="15.75">
      <c r="A40" s="93" t="s">
        <v>36</v>
      </c>
      <c r="B40" s="89"/>
      <c r="C40" s="89"/>
      <c r="D40" s="89"/>
      <c r="E40" s="96">
        <f>$C$26</f>
        <v>1250</v>
      </c>
      <c r="F40" s="96">
        <f t="shared" ref="F40:X40" si="20">$C$26</f>
        <v>1250</v>
      </c>
      <c r="G40" s="96">
        <f t="shared" si="20"/>
        <v>1250</v>
      </c>
      <c r="H40" s="96">
        <f t="shared" si="20"/>
        <v>1250</v>
      </c>
      <c r="I40" s="96">
        <f t="shared" si="20"/>
        <v>1250</v>
      </c>
      <c r="J40" s="96">
        <f t="shared" si="20"/>
        <v>1250</v>
      </c>
      <c r="K40" s="96">
        <f t="shared" si="20"/>
        <v>1250</v>
      </c>
      <c r="L40" s="96">
        <f t="shared" si="20"/>
        <v>1250</v>
      </c>
      <c r="M40" s="96">
        <f t="shared" si="20"/>
        <v>1250</v>
      </c>
      <c r="N40" s="96">
        <f t="shared" si="20"/>
        <v>1250</v>
      </c>
      <c r="O40" s="96">
        <f t="shared" si="20"/>
        <v>1250</v>
      </c>
      <c r="P40" s="96">
        <f t="shared" si="20"/>
        <v>1250</v>
      </c>
      <c r="Q40" s="96">
        <f t="shared" si="20"/>
        <v>1250</v>
      </c>
      <c r="R40" s="96">
        <f t="shared" si="20"/>
        <v>1250</v>
      </c>
      <c r="S40" s="96">
        <f t="shared" si="20"/>
        <v>1250</v>
      </c>
      <c r="T40" s="96">
        <f t="shared" si="20"/>
        <v>1250</v>
      </c>
      <c r="U40" s="96">
        <f t="shared" si="20"/>
        <v>1250</v>
      </c>
      <c r="V40" s="96">
        <f t="shared" si="20"/>
        <v>1250</v>
      </c>
      <c r="W40" s="96">
        <f t="shared" si="20"/>
        <v>1250</v>
      </c>
      <c r="X40" s="96">
        <f t="shared" si="20"/>
        <v>1250</v>
      </c>
      <c r="AC40" s="4"/>
      <c r="AD40" s="4"/>
      <c r="AE40" s="7"/>
      <c r="AF40" s="7"/>
      <c r="AG40" s="7"/>
      <c r="AH40" s="7"/>
      <c r="AI40" s="4"/>
      <c r="AJ40" s="7"/>
      <c r="AK40" s="7"/>
      <c r="AL40" s="7"/>
      <c r="AM40" s="7"/>
      <c r="AN40" s="7"/>
      <c r="AP40" s="27">
        <v>3</v>
      </c>
      <c r="AR40" s="8">
        <f>SUM(AR30:AR39)</f>
        <v>50</v>
      </c>
    </row>
    <row r="41" spans="1:44" ht="15.75">
      <c r="A41" s="93" t="s">
        <v>52</v>
      </c>
      <c r="B41" s="89"/>
      <c r="C41" s="89"/>
      <c r="D41" s="89"/>
      <c r="E41" s="96">
        <f>E39-E40</f>
        <v>5650</v>
      </c>
      <c r="F41" s="96">
        <f t="shared" ref="F41:X41" si="21">F39-F40</f>
        <v>5581</v>
      </c>
      <c r="G41" s="96">
        <f t="shared" si="21"/>
        <v>5512.69</v>
      </c>
      <c r="H41" s="96">
        <f t="shared" si="21"/>
        <v>5445.0630999999994</v>
      </c>
      <c r="I41" s="96">
        <f t="shared" si="21"/>
        <v>5378.1124689999997</v>
      </c>
      <c r="J41" s="96">
        <f t="shared" si="21"/>
        <v>5311.8313443099996</v>
      </c>
      <c r="K41" s="96">
        <f t="shared" si="21"/>
        <v>5246.2130308668993</v>
      </c>
      <c r="L41" s="96">
        <f t="shared" si="21"/>
        <v>5181.2509005582306</v>
      </c>
      <c r="M41" s="96">
        <f t="shared" si="21"/>
        <v>5116.9383915526478</v>
      </c>
      <c r="N41" s="96">
        <f t="shared" si="21"/>
        <v>5053.2690076371209</v>
      </c>
      <c r="O41" s="96">
        <f t="shared" si="21"/>
        <v>4990.2363175607497</v>
      </c>
      <c r="P41" s="96">
        <f t="shared" si="21"/>
        <v>4927.8339543851425</v>
      </c>
      <c r="Q41" s="96">
        <f t="shared" si="21"/>
        <v>4866.0556148412907</v>
      </c>
      <c r="R41" s="96">
        <f t="shared" si="21"/>
        <v>4804.8950586928777</v>
      </c>
      <c r="S41" s="96">
        <f t="shared" si="21"/>
        <v>4744.3461081059486</v>
      </c>
      <c r="T41" s="96">
        <f t="shared" si="21"/>
        <v>4684.4026470248891</v>
      </c>
      <c r="U41" s="96">
        <f t="shared" si="21"/>
        <v>4625.0586205546406</v>
      </c>
      <c r="V41" s="96">
        <f t="shared" si="21"/>
        <v>4566.3080343490938</v>
      </c>
      <c r="W41" s="96">
        <f t="shared" si="21"/>
        <v>4508.1449540056028</v>
      </c>
      <c r="X41" s="96">
        <f t="shared" si="21"/>
        <v>4450.5635044655464</v>
      </c>
    </row>
    <row r="42" spans="1:44" ht="15.75">
      <c r="A42" s="93"/>
      <c r="B42" s="89"/>
      <c r="C42" s="89"/>
      <c r="D42" s="89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44" ht="15.75">
      <c r="A43" s="93" t="s">
        <v>53</v>
      </c>
      <c r="B43" s="89"/>
      <c r="C43" s="89"/>
      <c r="D43" s="89"/>
      <c r="E43" s="97">
        <f>$D$18*E41/1000</f>
        <v>1220.4000000000001</v>
      </c>
      <c r="F43" s="97">
        <f t="shared" ref="F43:X43" si="22">$D$18*F41/1000</f>
        <v>1205.4960000000001</v>
      </c>
      <c r="G43" s="97">
        <f t="shared" si="22"/>
        <v>1190.7410399999999</v>
      </c>
      <c r="H43" s="97">
        <f t="shared" si="22"/>
        <v>1176.1336295999999</v>
      </c>
      <c r="I43" s="97">
        <f t="shared" si="22"/>
        <v>1161.672293304</v>
      </c>
      <c r="J43" s="97">
        <f t="shared" si="22"/>
        <v>1147.3555703709599</v>
      </c>
      <c r="K43" s="97">
        <f t="shared" si="22"/>
        <v>1133.1820146672503</v>
      </c>
      <c r="L43" s="97">
        <f t="shared" si="22"/>
        <v>1119.1501945205778</v>
      </c>
      <c r="M43" s="97">
        <f t="shared" si="22"/>
        <v>1105.2586925753719</v>
      </c>
      <c r="N43" s="97">
        <f t="shared" si="22"/>
        <v>1091.5061056496181</v>
      </c>
      <c r="O43" s="97">
        <f t="shared" si="22"/>
        <v>1077.8910445931219</v>
      </c>
      <c r="P43" s="97">
        <f t="shared" si="22"/>
        <v>1064.4121341471907</v>
      </c>
      <c r="Q43" s="97">
        <f t="shared" si="22"/>
        <v>1051.0680128057188</v>
      </c>
      <c r="R43" s="97">
        <f t="shared" si="22"/>
        <v>1037.8573326776616</v>
      </c>
      <c r="S43" s="97">
        <f t="shared" si="22"/>
        <v>1024.7787593508849</v>
      </c>
      <c r="T43" s="97">
        <f t="shared" si="22"/>
        <v>1011.8309717573761</v>
      </c>
      <c r="U43" s="97">
        <f t="shared" si="22"/>
        <v>999.01266203980242</v>
      </c>
      <c r="V43" s="97">
        <f t="shared" si="22"/>
        <v>986.32253541940429</v>
      </c>
      <c r="W43" s="97">
        <f t="shared" si="22"/>
        <v>973.75931006521023</v>
      </c>
      <c r="X43" s="97">
        <f t="shared" si="22"/>
        <v>961.32171696455805</v>
      </c>
    </row>
    <row r="44" spans="1:44" ht="15.75">
      <c r="A44" s="93" t="s">
        <v>54</v>
      </c>
      <c r="B44" s="89"/>
      <c r="C44" s="89"/>
      <c r="D44" s="89"/>
      <c r="E44" s="97">
        <f>$D$19*E40/1000</f>
        <v>167.5</v>
      </c>
      <c r="F44" s="97">
        <f t="shared" ref="F44:X44" si="23">$D$19*F40/1000</f>
        <v>167.5</v>
      </c>
      <c r="G44" s="97">
        <f t="shared" si="23"/>
        <v>167.5</v>
      </c>
      <c r="H44" s="97">
        <f t="shared" si="23"/>
        <v>167.5</v>
      </c>
      <c r="I44" s="97">
        <f t="shared" si="23"/>
        <v>167.5</v>
      </c>
      <c r="J44" s="97">
        <f t="shared" si="23"/>
        <v>167.5</v>
      </c>
      <c r="K44" s="97">
        <f t="shared" si="23"/>
        <v>167.5</v>
      </c>
      <c r="L44" s="97">
        <f t="shared" si="23"/>
        <v>167.5</v>
      </c>
      <c r="M44" s="97">
        <f t="shared" si="23"/>
        <v>167.5</v>
      </c>
      <c r="N44" s="97">
        <f t="shared" si="23"/>
        <v>167.5</v>
      </c>
      <c r="O44" s="97">
        <f t="shared" si="23"/>
        <v>167.5</v>
      </c>
      <c r="P44" s="97">
        <f t="shared" si="23"/>
        <v>167.5</v>
      </c>
      <c r="Q44" s="97">
        <f t="shared" si="23"/>
        <v>167.5</v>
      </c>
      <c r="R44" s="97">
        <f t="shared" si="23"/>
        <v>167.5</v>
      </c>
      <c r="S44" s="97">
        <f t="shared" si="23"/>
        <v>167.5</v>
      </c>
      <c r="T44" s="97">
        <f t="shared" si="23"/>
        <v>167.5</v>
      </c>
      <c r="U44" s="97">
        <f t="shared" si="23"/>
        <v>167.5</v>
      </c>
      <c r="V44" s="97">
        <f t="shared" si="23"/>
        <v>167.5</v>
      </c>
      <c r="W44" s="97">
        <f t="shared" si="23"/>
        <v>167.5</v>
      </c>
      <c r="X44" s="97">
        <f t="shared" si="23"/>
        <v>167.5</v>
      </c>
      <c r="AC44" s="62"/>
      <c r="AD44" s="63"/>
      <c r="AE44" s="64" t="s">
        <v>7</v>
      </c>
      <c r="AF44" s="65" t="s">
        <v>8</v>
      </c>
      <c r="AG44" s="66"/>
      <c r="AH44" s="66"/>
      <c r="AI44" s="62"/>
      <c r="AJ44" s="63"/>
      <c r="AK44" s="64" t="s">
        <v>7</v>
      </c>
      <c r="AL44" s="65" t="s">
        <v>8</v>
      </c>
      <c r="AM44" s="64"/>
      <c r="AN44" s="64"/>
      <c r="AO44" s="27"/>
    </row>
    <row r="45" spans="1:44" ht="15.75">
      <c r="A45" s="93" t="s">
        <v>55</v>
      </c>
      <c r="B45" s="89"/>
      <c r="C45" s="89"/>
      <c r="D45" s="89"/>
      <c r="E45" s="97">
        <f>C33*C26</f>
        <v>225</v>
      </c>
      <c r="F45" s="97">
        <f>E45+(E45/100*$C$34)</f>
        <v>227.25</v>
      </c>
      <c r="G45" s="97">
        <f>F45+(F45/100*$C$34)</f>
        <v>229.52250000000001</v>
      </c>
      <c r="H45" s="97">
        <f>G45+(G45/100*$C$34)</f>
        <v>231.817725</v>
      </c>
      <c r="I45" s="97">
        <f>H45+(H45/100*$C$34)</f>
        <v>234.13590224999999</v>
      </c>
      <c r="J45" s="97">
        <f t="shared" ref="J45:X45" si="24">I45+(I45/100*$C$34)</f>
        <v>236.47726127249999</v>
      </c>
      <c r="K45" s="97">
        <f t="shared" si="24"/>
        <v>238.84203388522499</v>
      </c>
      <c r="L45" s="97">
        <f t="shared" si="24"/>
        <v>241.23045422407725</v>
      </c>
      <c r="M45" s="97">
        <f t="shared" si="24"/>
        <v>243.64275876631802</v>
      </c>
      <c r="N45" s="97">
        <f t="shared" si="24"/>
        <v>246.07918635398121</v>
      </c>
      <c r="O45" s="97">
        <f t="shared" si="24"/>
        <v>248.53997821752102</v>
      </c>
      <c r="P45" s="97">
        <f t="shared" si="24"/>
        <v>251.02537799969625</v>
      </c>
      <c r="Q45" s="97">
        <f t="shared" si="24"/>
        <v>253.5356317796932</v>
      </c>
      <c r="R45" s="97">
        <f t="shared" si="24"/>
        <v>256.07098809749016</v>
      </c>
      <c r="S45" s="97">
        <f t="shared" si="24"/>
        <v>258.63169797846507</v>
      </c>
      <c r="T45" s="97">
        <f t="shared" si="24"/>
        <v>261.21801495824974</v>
      </c>
      <c r="U45" s="97">
        <f t="shared" si="24"/>
        <v>263.83019510783225</v>
      </c>
      <c r="V45" s="97">
        <f t="shared" si="24"/>
        <v>266.4684970589106</v>
      </c>
      <c r="W45" s="97">
        <f t="shared" si="24"/>
        <v>269.13318202949972</v>
      </c>
      <c r="X45" s="97">
        <f t="shared" si="24"/>
        <v>271.8245138497947</v>
      </c>
      <c r="AC45" s="25" t="b">
        <f>AND($AC$1=4,$AC$7=1,$C$3&lt;=3,$C$3&gt;=1)</f>
        <v>0</v>
      </c>
      <c r="AD45" s="34" t="s">
        <v>12</v>
      </c>
      <c r="AE45" s="71">
        <v>144</v>
      </c>
      <c r="AF45" s="72">
        <f t="shared" ref="AF45:AF50" si="25">AE45-82</f>
        <v>62</v>
      </c>
      <c r="AG45" s="107">
        <f t="shared" ref="AG45:AG50" si="26">IF(AC45=TRUE,AE45,0)</f>
        <v>0</v>
      </c>
      <c r="AH45" s="107">
        <f t="shared" ref="AH45:AH50" si="27">IF(AC45=TRUE,AF45,0)</f>
        <v>0</v>
      </c>
      <c r="AI45" s="25" t="b">
        <f>AND($AC$1=4,$AC$7=2,$C$3&lt;=3,$C$3&gt;=1)</f>
        <v>0</v>
      </c>
      <c r="AJ45" s="34" t="s">
        <v>12</v>
      </c>
      <c r="AK45" s="71">
        <v>140</v>
      </c>
      <c r="AL45" s="72">
        <f t="shared" ref="AL45:AL50" si="28">AK45-82</f>
        <v>58</v>
      </c>
      <c r="AM45" s="7">
        <f>IF(AI45=TRUE,AK45,0)</f>
        <v>0</v>
      </c>
      <c r="AN45" s="7">
        <f>IF(AI45=TRUE,AL45,0)</f>
        <v>0</v>
      </c>
      <c r="AO45" s="27"/>
    </row>
    <row r="46" spans="1:44" ht="15.75">
      <c r="A46" s="93" t="s">
        <v>56</v>
      </c>
      <c r="B46" s="89"/>
      <c r="C46" s="89"/>
      <c r="D46" s="89"/>
      <c r="E46" s="98">
        <f>SUM(E43:E45)</f>
        <v>1612.9</v>
      </c>
      <c r="F46" s="98">
        <f t="shared" ref="F46:X46" si="29">SUM(F43:F45)</f>
        <v>1600.2460000000001</v>
      </c>
      <c r="G46" s="98">
        <f t="shared" si="29"/>
        <v>1587.7635399999999</v>
      </c>
      <c r="H46" s="98">
        <f t="shared" si="29"/>
        <v>1575.4513545999998</v>
      </c>
      <c r="I46" s="98">
        <f t="shared" si="29"/>
        <v>1563.3081955540001</v>
      </c>
      <c r="J46" s="98">
        <f t="shared" si="29"/>
        <v>1551.3328316434599</v>
      </c>
      <c r="K46" s="98">
        <f t="shared" si="29"/>
        <v>1539.5240485524753</v>
      </c>
      <c r="L46" s="98">
        <f t="shared" si="29"/>
        <v>1527.880648744655</v>
      </c>
      <c r="M46" s="98">
        <f t="shared" si="29"/>
        <v>1516.4014513416901</v>
      </c>
      <c r="N46" s="98">
        <f t="shared" si="29"/>
        <v>1505.0852920035993</v>
      </c>
      <c r="O46" s="98">
        <f t="shared" si="29"/>
        <v>1493.9310228106428</v>
      </c>
      <c r="P46" s="98">
        <f t="shared" si="29"/>
        <v>1482.937512146887</v>
      </c>
      <c r="Q46" s="98">
        <f t="shared" si="29"/>
        <v>1472.103644585412</v>
      </c>
      <c r="R46" s="98">
        <f t="shared" si="29"/>
        <v>1461.4283207751519</v>
      </c>
      <c r="S46" s="98">
        <f t="shared" si="29"/>
        <v>1450.91045732935</v>
      </c>
      <c r="T46" s="98">
        <f t="shared" si="29"/>
        <v>1440.5489867156259</v>
      </c>
      <c r="U46" s="98">
        <f t="shared" si="29"/>
        <v>1430.3428571476345</v>
      </c>
      <c r="V46" s="98">
        <f t="shared" si="29"/>
        <v>1420.2910324783147</v>
      </c>
      <c r="W46" s="98">
        <f t="shared" si="29"/>
        <v>1410.39249209471</v>
      </c>
      <c r="X46" s="98">
        <f t="shared" si="29"/>
        <v>1400.6462308143527</v>
      </c>
      <c r="AC46" s="25" t="b">
        <f>AND($AC$1=4,$AC$7=1,$C$3&lt;=20,$C$3&gt;3)</f>
        <v>0</v>
      </c>
      <c r="AD46" s="34" t="s">
        <v>13</v>
      </c>
      <c r="AE46" s="71">
        <v>137</v>
      </c>
      <c r="AF46" s="72">
        <f t="shared" si="25"/>
        <v>55</v>
      </c>
      <c r="AG46" s="107">
        <f t="shared" si="26"/>
        <v>0</v>
      </c>
      <c r="AH46" s="107">
        <f t="shared" si="27"/>
        <v>0</v>
      </c>
      <c r="AI46" s="25" t="b">
        <f>AND($AC$1=4,$AC$7=2,$C$3&lt;=20,$C$3&gt;3)</f>
        <v>0</v>
      </c>
      <c r="AJ46" s="34" t="s">
        <v>13</v>
      </c>
      <c r="AK46" s="71">
        <v>133</v>
      </c>
      <c r="AL46" s="72">
        <f t="shared" si="28"/>
        <v>51</v>
      </c>
      <c r="AM46" s="7">
        <f t="shared" ref="AM46:AM50" si="30">IF(AI46=TRUE,AK46,0)</f>
        <v>0</v>
      </c>
      <c r="AN46" s="7">
        <f t="shared" ref="AN46:AN50" si="31">IF(AI46=TRUE,AL46,0)</f>
        <v>0</v>
      </c>
    </row>
    <row r="47" spans="1:44" ht="15.75">
      <c r="A47" s="93"/>
      <c r="B47" s="89"/>
      <c r="C47" s="89"/>
      <c r="D47" s="8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AC47" s="25" t="b">
        <f>AND($AC$1=4,$AC$7=1,$C$3&lt;=200,$C$3&gt;20)</f>
        <v>0</v>
      </c>
      <c r="AD47" s="34" t="s">
        <v>14</v>
      </c>
      <c r="AE47" s="71">
        <v>131</v>
      </c>
      <c r="AF47" s="72">
        <f t="shared" si="25"/>
        <v>49</v>
      </c>
      <c r="AG47" s="107">
        <f t="shared" si="26"/>
        <v>0</v>
      </c>
      <c r="AH47" s="107">
        <f t="shared" si="27"/>
        <v>0</v>
      </c>
      <c r="AI47" s="25" t="b">
        <f>AND($AC$1=4,$AC$7=2,$C$3&lt;=200,$C$3&gt;20)</f>
        <v>0</v>
      </c>
      <c r="AJ47" s="34" t="s">
        <v>14</v>
      </c>
      <c r="AK47" s="71">
        <v>126</v>
      </c>
      <c r="AL47" s="72">
        <f t="shared" si="28"/>
        <v>44</v>
      </c>
      <c r="AM47" s="7">
        <f t="shared" si="30"/>
        <v>0</v>
      </c>
      <c r="AN47" s="7">
        <f t="shared" si="31"/>
        <v>0</v>
      </c>
    </row>
    <row r="48" spans="1:44" ht="15.75">
      <c r="A48" s="93" t="s">
        <v>61</v>
      </c>
      <c r="B48" s="89"/>
      <c r="C48" s="89"/>
      <c r="D48" s="89"/>
      <c r="E48" s="97">
        <f>$C$31</f>
        <v>150</v>
      </c>
      <c r="F48" s="97">
        <f t="shared" ref="F48:X48" si="32">$C$31</f>
        <v>150</v>
      </c>
      <c r="G48" s="97">
        <f t="shared" si="32"/>
        <v>150</v>
      </c>
      <c r="H48" s="97">
        <f t="shared" si="32"/>
        <v>150</v>
      </c>
      <c r="I48" s="97">
        <f t="shared" si="32"/>
        <v>150</v>
      </c>
      <c r="J48" s="97">
        <f t="shared" si="32"/>
        <v>150</v>
      </c>
      <c r="K48" s="97">
        <f t="shared" si="32"/>
        <v>150</v>
      </c>
      <c r="L48" s="97">
        <f t="shared" si="32"/>
        <v>150</v>
      </c>
      <c r="M48" s="97">
        <f t="shared" si="32"/>
        <v>150</v>
      </c>
      <c r="N48" s="97">
        <f t="shared" si="32"/>
        <v>150</v>
      </c>
      <c r="O48" s="97">
        <f t="shared" si="32"/>
        <v>150</v>
      </c>
      <c r="P48" s="97">
        <f t="shared" si="32"/>
        <v>150</v>
      </c>
      <c r="Q48" s="97">
        <f t="shared" si="32"/>
        <v>150</v>
      </c>
      <c r="R48" s="97">
        <f t="shared" si="32"/>
        <v>150</v>
      </c>
      <c r="S48" s="97">
        <f t="shared" si="32"/>
        <v>150</v>
      </c>
      <c r="T48" s="97">
        <f t="shared" si="32"/>
        <v>150</v>
      </c>
      <c r="U48" s="97">
        <f t="shared" si="32"/>
        <v>150</v>
      </c>
      <c r="V48" s="97">
        <f t="shared" si="32"/>
        <v>150</v>
      </c>
      <c r="W48" s="97">
        <f t="shared" si="32"/>
        <v>150</v>
      </c>
      <c r="X48" s="97">
        <f t="shared" si="32"/>
        <v>150</v>
      </c>
      <c r="AC48" s="25" t="b">
        <f>AND($AC$1=4,$AC$7=1,$C$3&lt;=1000,$C$3&gt;200)</f>
        <v>0</v>
      </c>
      <c r="AD48" s="34" t="s">
        <v>15</v>
      </c>
      <c r="AE48" s="64">
        <v>111</v>
      </c>
      <c r="AF48" s="65">
        <f t="shared" si="25"/>
        <v>29</v>
      </c>
      <c r="AG48" s="107">
        <f t="shared" si="26"/>
        <v>0</v>
      </c>
      <c r="AH48" s="107">
        <f t="shared" si="27"/>
        <v>0</v>
      </c>
      <c r="AI48" s="25" t="b">
        <f>AND($AC$1=4,$AC$7=2,$C$3&lt;=1000,$C$3&gt;200)</f>
        <v>0</v>
      </c>
      <c r="AJ48" s="34" t="s">
        <v>15</v>
      </c>
      <c r="AK48" s="64">
        <v>107</v>
      </c>
      <c r="AL48" s="65">
        <f t="shared" si="28"/>
        <v>25</v>
      </c>
      <c r="AM48" s="7">
        <f t="shared" si="30"/>
        <v>0</v>
      </c>
      <c r="AN48" s="7">
        <f t="shared" si="31"/>
        <v>0</v>
      </c>
    </row>
    <row r="49" spans="1:41" ht="15.75">
      <c r="A49" s="93" t="s">
        <v>60</v>
      </c>
      <c r="B49" s="89"/>
      <c r="C49" s="89"/>
      <c r="D49" s="89"/>
      <c r="E49" s="97">
        <f>$C$32</f>
        <v>50</v>
      </c>
      <c r="F49" s="97">
        <f t="shared" ref="F49:X49" si="33">$C$32</f>
        <v>50</v>
      </c>
      <c r="G49" s="97">
        <f t="shared" si="33"/>
        <v>50</v>
      </c>
      <c r="H49" s="97">
        <f t="shared" si="33"/>
        <v>50</v>
      </c>
      <c r="I49" s="97">
        <f t="shared" si="33"/>
        <v>50</v>
      </c>
      <c r="J49" s="97">
        <f t="shared" si="33"/>
        <v>50</v>
      </c>
      <c r="K49" s="97">
        <f t="shared" si="33"/>
        <v>50</v>
      </c>
      <c r="L49" s="97">
        <f t="shared" si="33"/>
        <v>50</v>
      </c>
      <c r="M49" s="97">
        <f t="shared" si="33"/>
        <v>50</v>
      </c>
      <c r="N49" s="97">
        <f t="shared" si="33"/>
        <v>50</v>
      </c>
      <c r="O49" s="97">
        <f t="shared" si="33"/>
        <v>50</v>
      </c>
      <c r="P49" s="97">
        <f t="shared" si="33"/>
        <v>50</v>
      </c>
      <c r="Q49" s="97">
        <f t="shared" si="33"/>
        <v>50</v>
      </c>
      <c r="R49" s="97">
        <f t="shared" si="33"/>
        <v>50</v>
      </c>
      <c r="S49" s="97">
        <f t="shared" si="33"/>
        <v>50</v>
      </c>
      <c r="T49" s="97">
        <f t="shared" si="33"/>
        <v>50</v>
      </c>
      <c r="U49" s="97">
        <f t="shared" si="33"/>
        <v>50</v>
      </c>
      <c r="V49" s="97">
        <f t="shared" si="33"/>
        <v>50</v>
      </c>
      <c r="W49" s="97">
        <f t="shared" si="33"/>
        <v>50</v>
      </c>
      <c r="X49" s="97">
        <f t="shared" si="33"/>
        <v>50</v>
      </c>
      <c r="AC49" s="25" t="b">
        <f>AND($AC$1=4,$AC$7=1,$C$3&lt;=5000,$C$3&gt;1000)</f>
        <v>0</v>
      </c>
      <c r="AD49" s="34" t="s">
        <v>16</v>
      </c>
      <c r="AE49" s="71">
        <v>105</v>
      </c>
      <c r="AF49" s="72">
        <f t="shared" si="25"/>
        <v>23</v>
      </c>
      <c r="AG49" s="107">
        <f t="shared" si="26"/>
        <v>0</v>
      </c>
      <c r="AH49" s="107">
        <f t="shared" si="27"/>
        <v>0</v>
      </c>
      <c r="AI49" s="25" t="b">
        <f>AND($AC$1=4,$AC$7=2,$C$3&lt;=5000,$C$3&gt;1000)</f>
        <v>0</v>
      </c>
      <c r="AJ49" s="34" t="s">
        <v>16</v>
      </c>
      <c r="AK49" s="71">
        <v>101</v>
      </c>
      <c r="AL49" s="72">
        <f t="shared" si="28"/>
        <v>19</v>
      </c>
      <c r="AM49" s="7">
        <f t="shared" si="30"/>
        <v>0</v>
      </c>
      <c r="AN49" s="7">
        <f t="shared" si="31"/>
        <v>0</v>
      </c>
    </row>
    <row r="50" spans="1:41" ht="16.5" thickBot="1">
      <c r="A50" s="93" t="s">
        <v>62</v>
      </c>
      <c r="B50" s="89"/>
      <c r="C50" s="89"/>
      <c r="D50" s="89"/>
      <c r="E50" s="98">
        <f>SUM(E48:E49)</f>
        <v>200</v>
      </c>
      <c r="F50" s="98">
        <f>SUM(F48:F49)</f>
        <v>200</v>
      </c>
      <c r="G50" s="98">
        <f t="shared" ref="G50:X50" si="34">SUM(G48:G49)</f>
        <v>200</v>
      </c>
      <c r="H50" s="98">
        <f t="shared" si="34"/>
        <v>200</v>
      </c>
      <c r="I50" s="98">
        <f t="shared" si="34"/>
        <v>200</v>
      </c>
      <c r="J50" s="98">
        <f t="shared" si="34"/>
        <v>200</v>
      </c>
      <c r="K50" s="98">
        <f t="shared" si="34"/>
        <v>200</v>
      </c>
      <c r="L50" s="98">
        <f t="shared" si="34"/>
        <v>200</v>
      </c>
      <c r="M50" s="98">
        <f t="shared" si="34"/>
        <v>200</v>
      </c>
      <c r="N50" s="98">
        <f t="shared" si="34"/>
        <v>200</v>
      </c>
      <c r="O50" s="98">
        <f t="shared" si="34"/>
        <v>200</v>
      </c>
      <c r="P50" s="98">
        <f t="shared" si="34"/>
        <v>200</v>
      </c>
      <c r="Q50" s="98">
        <f t="shared" si="34"/>
        <v>200</v>
      </c>
      <c r="R50" s="98">
        <f t="shared" si="34"/>
        <v>200</v>
      </c>
      <c r="S50" s="98">
        <f t="shared" si="34"/>
        <v>200</v>
      </c>
      <c r="T50" s="98">
        <f t="shared" si="34"/>
        <v>200</v>
      </c>
      <c r="U50" s="98">
        <f t="shared" si="34"/>
        <v>200</v>
      </c>
      <c r="V50" s="98">
        <f t="shared" si="34"/>
        <v>200</v>
      </c>
      <c r="W50" s="98">
        <f t="shared" si="34"/>
        <v>200</v>
      </c>
      <c r="X50" s="98">
        <f t="shared" si="34"/>
        <v>200</v>
      </c>
      <c r="AC50" s="35" t="b">
        <f>AND($AC$1=4,$AC$7=1,$C$3&gt;5000)</f>
        <v>0</v>
      </c>
      <c r="AD50" s="44" t="s">
        <v>17</v>
      </c>
      <c r="AE50" s="80">
        <v>99</v>
      </c>
      <c r="AF50" s="81">
        <f t="shared" si="25"/>
        <v>17</v>
      </c>
      <c r="AG50" s="107">
        <f t="shared" si="26"/>
        <v>0</v>
      </c>
      <c r="AH50" s="107">
        <f t="shared" si="27"/>
        <v>0</v>
      </c>
      <c r="AI50" s="35" t="b">
        <f>AND($AC$1=4,$AC$7=2,$C$3&gt;5000)</f>
        <v>0</v>
      </c>
      <c r="AJ50" s="44" t="s">
        <v>17</v>
      </c>
      <c r="AK50" s="80">
        <v>95</v>
      </c>
      <c r="AL50" s="81">
        <f t="shared" si="28"/>
        <v>13</v>
      </c>
      <c r="AM50" s="7">
        <f t="shared" si="30"/>
        <v>0</v>
      </c>
      <c r="AN50" s="7">
        <f t="shared" si="31"/>
        <v>0</v>
      </c>
    </row>
    <row r="51" spans="1:41" ht="16.5" thickBot="1">
      <c r="A51" s="70"/>
      <c r="B51" s="89"/>
      <c r="C51" s="89"/>
      <c r="D51" s="89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AC51" s="70"/>
      <c r="AD51" s="70"/>
      <c r="AE51" s="73"/>
      <c r="AF51" s="73"/>
      <c r="AG51" s="82">
        <f>SUM(AG45:AG50)</f>
        <v>0</v>
      </c>
      <c r="AH51" s="83">
        <f>SUM(AH45:AH50)</f>
        <v>0</v>
      </c>
      <c r="AI51" s="70"/>
      <c r="AJ51" s="73"/>
      <c r="AK51" s="73"/>
      <c r="AL51" s="73"/>
      <c r="AM51" s="82">
        <f>SUM(AM45:AM50)</f>
        <v>0</v>
      </c>
      <c r="AN51" s="82">
        <f>SUM(AN45:AN50)</f>
        <v>0</v>
      </c>
    </row>
    <row r="52" spans="1:41" ht="16.5" thickBot="1">
      <c r="A52" s="93" t="s">
        <v>57</v>
      </c>
      <c r="B52" s="89"/>
      <c r="C52" s="89"/>
      <c r="D52" s="89"/>
      <c r="E52" s="99">
        <v>1</v>
      </c>
      <c r="F52" s="99">
        <v>2</v>
      </c>
      <c r="G52" s="99">
        <v>3</v>
      </c>
      <c r="H52" s="99">
        <v>4</v>
      </c>
      <c r="I52" s="99">
        <v>5</v>
      </c>
      <c r="J52" s="99">
        <v>6</v>
      </c>
      <c r="K52" s="99">
        <v>7</v>
      </c>
      <c r="L52" s="99">
        <v>8</v>
      </c>
      <c r="M52" s="99">
        <v>9</v>
      </c>
      <c r="N52" s="99">
        <v>10</v>
      </c>
      <c r="O52" s="99">
        <v>11</v>
      </c>
      <c r="P52" s="99">
        <v>12</v>
      </c>
      <c r="Q52" s="99">
        <v>13</v>
      </c>
      <c r="R52" s="99">
        <v>14</v>
      </c>
      <c r="S52" s="99">
        <v>15</v>
      </c>
      <c r="T52" s="99">
        <v>16</v>
      </c>
      <c r="U52" s="99">
        <v>17</v>
      </c>
      <c r="V52" s="99">
        <v>18</v>
      </c>
      <c r="W52" s="99">
        <v>19</v>
      </c>
      <c r="X52" s="99">
        <v>20</v>
      </c>
      <c r="AC52" s="4"/>
      <c r="AD52" s="34"/>
      <c r="AE52" s="7"/>
      <c r="AF52" s="7"/>
      <c r="AG52" s="7"/>
      <c r="AH52" s="7"/>
      <c r="AI52" s="4"/>
      <c r="AJ52" s="34"/>
      <c r="AK52" s="7"/>
      <c r="AL52" s="7"/>
      <c r="AM52" s="7"/>
      <c r="AN52" s="7"/>
    </row>
    <row r="53" spans="1:41" ht="16.5" thickBot="1">
      <c r="A53" s="93" t="s">
        <v>58</v>
      </c>
      <c r="B53" s="89"/>
      <c r="C53" s="89"/>
      <c r="D53" s="89"/>
      <c r="E53" s="100">
        <f>-(C3*C30)-E50+E46</f>
        <v>-10587.1</v>
      </c>
      <c r="F53" s="100">
        <f t="shared" ref="F53:X53" si="35">E53+F46-F50</f>
        <v>-9186.8539999999994</v>
      </c>
      <c r="G53" s="100">
        <f t="shared" si="35"/>
        <v>-7799.0904599999994</v>
      </c>
      <c r="H53" s="100">
        <f t="shared" si="35"/>
        <v>-6423.6391053999996</v>
      </c>
      <c r="I53" s="100">
        <f t="shared" si="35"/>
        <v>-5060.3309098459995</v>
      </c>
      <c r="J53" s="100">
        <f t="shared" si="35"/>
        <v>-3708.9980782025395</v>
      </c>
      <c r="K53" s="100">
        <f t="shared" si="35"/>
        <v>-2369.474029650064</v>
      </c>
      <c r="L53" s="100">
        <f t="shared" si="35"/>
        <v>-1041.593380905409</v>
      </c>
      <c r="M53" s="100">
        <f t="shared" si="35"/>
        <v>274.80807043628101</v>
      </c>
      <c r="N53" s="100">
        <f t="shared" si="35"/>
        <v>1579.8933624398803</v>
      </c>
      <c r="O53" s="100">
        <f t="shared" si="35"/>
        <v>2873.8243852505229</v>
      </c>
      <c r="P53" s="100">
        <f t="shared" si="35"/>
        <v>4156.7618973974095</v>
      </c>
      <c r="Q53" s="100">
        <f t="shared" si="35"/>
        <v>5428.865541982821</v>
      </c>
      <c r="R53" s="100">
        <f t="shared" si="35"/>
        <v>6690.2938627579733</v>
      </c>
      <c r="S53" s="100">
        <f t="shared" si="35"/>
        <v>7941.2043200873231</v>
      </c>
      <c r="T53" s="100">
        <f t="shared" si="35"/>
        <v>9181.7533068029497</v>
      </c>
      <c r="U53" s="100">
        <f t="shared" si="35"/>
        <v>10412.096163950584</v>
      </c>
      <c r="V53" s="100">
        <f t="shared" si="35"/>
        <v>11632.387196428899</v>
      </c>
      <c r="W53" s="100">
        <f t="shared" si="35"/>
        <v>12842.779688523609</v>
      </c>
      <c r="X53" s="100">
        <f t="shared" si="35"/>
        <v>14043.425919337962</v>
      </c>
      <c r="AC53" s="4"/>
      <c r="AD53" s="34"/>
      <c r="AE53" s="7"/>
      <c r="AF53" s="7"/>
      <c r="AG53" s="7"/>
      <c r="AH53" s="7"/>
      <c r="AI53" s="4"/>
      <c r="AJ53" s="34"/>
      <c r="AK53" s="7"/>
      <c r="AL53" s="7"/>
      <c r="AM53" s="7"/>
      <c r="AN53" s="7"/>
    </row>
    <row r="54" spans="1:41">
      <c r="AC54" s="4"/>
      <c r="AD54" s="4"/>
      <c r="AE54" s="7"/>
      <c r="AF54" s="7"/>
      <c r="AG54" s="7"/>
      <c r="AH54" s="7"/>
      <c r="AI54" s="4"/>
      <c r="AJ54" s="7"/>
      <c r="AK54" s="7"/>
      <c r="AL54" s="7"/>
      <c r="AM54" s="7"/>
      <c r="AN54" s="7"/>
    </row>
    <row r="55" spans="1:41"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8" spans="1:41" ht="15.75">
      <c r="AC58" s="62"/>
      <c r="AD58" s="63"/>
      <c r="AE58" s="64" t="s">
        <v>7</v>
      </c>
      <c r="AF58" s="65" t="s">
        <v>8</v>
      </c>
      <c r="AG58" s="66"/>
      <c r="AH58" s="66"/>
      <c r="AI58" s="62"/>
      <c r="AJ58" s="63"/>
      <c r="AK58" s="64" t="s">
        <v>7</v>
      </c>
      <c r="AL58" s="65" t="s">
        <v>8</v>
      </c>
      <c r="AM58" s="64"/>
      <c r="AN58" s="64"/>
      <c r="AO58" s="27"/>
    </row>
    <row r="59" spans="1:41" ht="15.75">
      <c r="AC59" s="25" t="b">
        <f>AND($AC$1=5,$AC$7=1,$C$3&lt;=3,$C$3&gt;=1)</f>
        <v>0</v>
      </c>
      <c r="AD59" s="34" t="s">
        <v>12</v>
      </c>
      <c r="AE59" s="71">
        <v>133</v>
      </c>
      <c r="AF59" s="72">
        <f t="shared" ref="AF59:AF64" si="36">AE59-82</f>
        <v>51</v>
      </c>
      <c r="AG59" s="73">
        <f t="shared" ref="AG59:AG64" si="37">IF(AC59=TRUE,AE59,0)</f>
        <v>0</v>
      </c>
      <c r="AH59" s="107">
        <f t="shared" ref="AH59:AH64" si="38">IF(AC59=TRUE,AF59,0)</f>
        <v>0</v>
      </c>
      <c r="AI59" s="25" t="b">
        <f>AND($AC$1=5,$AC$7=2,$C$3&lt;=3,$C$3&gt;=1)</f>
        <v>0</v>
      </c>
      <c r="AJ59" s="34" t="s">
        <v>12</v>
      </c>
      <c r="AK59" s="71">
        <v>130</v>
      </c>
      <c r="AL59" s="72">
        <f t="shared" ref="AL59:AL64" si="39">AK59-82</f>
        <v>48</v>
      </c>
      <c r="AM59" s="7">
        <f>IF(AI59=TRUE,AK59,0)</f>
        <v>0</v>
      </c>
      <c r="AN59" s="7">
        <f>IF(AI59=TRUE,AL59,0)</f>
        <v>0</v>
      </c>
      <c r="AO59" s="27"/>
    </row>
    <row r="60" spans="1:41" ht="15.75">
      <c r="AC60" s="25" t="b">
        <f>AND($AC$1=5,$AC$7=1,$C$3&lt;=20,$C$3&gt;3)</f>
        <v>0</v>
      </c>
      <c r="AD60" s="34" t="s">
        <v>13</v>
      </c>
      <c r="AE60" s="71">
        <v>128</v>
      </c>
      <c r="AF60" s="72">
        <f t="shared" si="36"/>
        <v>46</v>
      </c>
      <c r="AG60" s="73">
        <f t="shared" si="37"/>
        <v>0</v>
      </c>
      <c r="AH60" s="107">
        <f t="shared" si="38"/>
        <v>0</v>
      </c>
      <c r="AI60" s="25" t="b">
        <f>AND($AC$1=5,$AC$7=2,$C$3&lt;=20,$C$3&gt;3)</f>
        <v>0</v>
      </c>
      <c r="AJ60" s="34" t="s">
        <v>13</v>
      </c>
      <c r="AK60" s="71">
        <v>124</v>
      </c>
      <c r="AL60" s="72">
        <f t="shared" si="39"/>
        <v>42</v>
      </c>
      <c r="AM60" s="7">
        <f t="shared" ref="AM60:AM64" si="40">IF(AI60=TRUE,AK60,0)</f>
        <v>0</v>
      </c>
      <c r="AN60" s="7">
        <f t="shared" ref="AN60:AN64" si="41">IF(AI60=TRUE,AL60,0)</f>
        <v>0</v>
      </c>
    </row>
    <row r="61" spans="1:41" ht="15.75">
      <c r="AC61" s="25" t="b">
        <f>AND($AC$1=5,$AC$7=1,$C$3&lt;=200,$C$3&gt;20)</f>
        <v>0</v>
      </c>
      <c r="AD61" s="34" t="s">
        <v>14</v>
      </c>
      <c r="AE61" s="71">
        <v>122</v>
      </c>
      <c r="AF61" s="72">
        <f t="shared" si="36"/>
        <v>40</v>
      </c>
      <c r="AG61" s="73">
        <f t="shared" si="37"/>
        <v>0</v>
      </c>
      <c r="AH61" s="107">
        <f t="shared" si="38"/>
        <v>0</v>
      </c>
      <c r="AI61" s="25" t="b">
        <f>AND($AC$1=5,$AC$7=2,$C$3&lt;=200,$C$3&gt;20)</f>
        <v>0</v>
      </c>
      <c r="AJ61" s="34" t="s">
        <v>14</v>
      </c>
      <c r="AK61" s="71">
        <v>118</v>
      </c>
      <c r="AL61" s="72">
        <f t="shared" si="39"/>
        <v>36</v>
      </c>
      <c r="AM61" s="7">
        <f t="shared" si="40"/>
        <v>0</v>
      </c>
      <c r="AN61" s="7">
        <f t="shared" si="41"/>
        <v>0</v>
      </c>
    </row>
    <row r="62" spans="1:41" ht="15.75">
      <c r="AC62" s="25" t="b">
        <f>AND($AC$1=5,$AC$7=1,$C$3&lt;=1000,$C$3&gt;200)</f>
        <v>0</v>
      </c>
      <c r="AD62" s="34" t="s">
        <v>15</v>
      </c>
      <c r="AE62" s="64">
        <v>106</v>
      </c>
      <c r="AF62" s="65">
        <f t="shared" si="36"/>
        <v>24</v>
      </c>
      <c r="AG62" s="66">
        <f t="shared" si="37"/>
        <v>0</v>
      </c>
      <c r="AH62" s="107">
        <f t="shared" si="38"/>
        <v>0</v>
      </c>
      <c r="AI62" s="25" t="b">
        <f>AND($AC$1=5,$AC$7=2,$C$3&lt;=1000,$C$3&gt;200)</f>
        <v>0</v>
      </c>
      <c r="AJ62" s="34" t="s">
        <v>15</v>
      </c>
      <c r="AK62" s="64">
        <v>102</v>
      </c>
      <c r="AL62" s="65">
        <f t="shared" si="39"/>
        <v>20</v>
      </c>
      <c r="AM62" s="7">
        <f t="shared" si="40"/>
        <v>0</v>
      </c>
      <c r="AN62" s="7">
        <f t="shared" si="41"/>
        <v>0</v>
      </c>
    </row>
    <row r="63" spans="1:41" ht="15.75">
      <c r="AC63" s="25" t="b">
        <f>AND($AC$1=5,$AC$7=1,$C$3&lt;=5000,$C$3&gt;1000)</f>
        <v>0</v>
      </c>
      <c r="AD63" s="34" t="s">
        <v>16</v>
      </c>
      <c r="AE63" s="71">
        <v>100</v>
      </c>
      <c r="AF63" s="72">
        <f t="shared" si="36"/>
        <v>18</v>
      </c>
      <c r="AG63" s="73">
        <f t="shared" si="37"/>
        <v>0</v>
      </c>
      <c r="AH63" s="107">
        <f t="shared" si="38"/>
        <v>0</v>
      </c>
      <c r="AI63" s="25" t="b">
        <f>AND($AC$1=5,$AC$7=2,$C$3&lt;=5000,$C$3&gt;1000)</f>
        <v>0</v>
      </c>
      <c r="AJ63" s="34" t="s">
        <v>16</v>
      </c>
      <c r="AK63" s="71">
        <v>97</v>
      </c>
      <c r="AL63" s="72">
        <f t="shared" si="39"/>
        <v>15</v>
      </c>
      <c r="AM63" s="7">
        <f t="shared" si="40"/>
        <v>0</v>
      </c>
      <c r="AN63" s="7">
        <f t="shared" si="41"/>
        <v>0</v>
      </c>
    </row>
    <row r="64" spans="1:41" ht="16.5" thickBot="1">
      <c r="AC64" s="35" t="b">
        <f>AND($AC$1=5,$AC$7=1,$C$3&gt;5000)</f>
        <v>0</v>
      </c>
      <c r="AD64" s="44" t="s">
        <v>17</v>
      </c>
      <c r="AE64" s="80">
        <v>95</v>
      </c>
      <c r="AF64" s="81">
        <f t="shared" si="36"/>
        <v>13</v>
      </c>
      <c r="AG64" s="73">
        <f t="shared" si="37"/>
        <v>0</v>
      </c>
      <c r="AH64" s="107">
        <f t="shared" si="38"/>
        <v>0</v>
      </c>
      <c r="AI64" s="35" t="b">
        <f>AND($AC$1=5,$AC$7=2,$C$3&gt;5000)</f>
        <v>0</v>
      </c>
      <c r="AJ64" s="44" t="s">
        <v>17</v>
      </c>
      <c r="AK64" s="80">
        <v>92</v>
      </c>
      <c r="AL64" s="81">
        <f t="shared" si="39"/>
        <v>10</v>
      </c>
      <c r="AM64" s="7">
        <f t="shared" si="40"/>
        <v>0</v>
      </c>
      <c r="AN64" s="7">
        <f t="shared" si="41"/>
        <v>0</v>
      </c>
    </row>
    <row r="65" spans="29:43" ht="15.75">
      <c r="AC65" s="70"/>
      <c r="AD65" s="70"/>
      <c r="AE65" s="73"/>
      <c r="AF65" s="73"/>
      <c r="AG65" s="110">
        <f>SUM(AG59:AG64)</f>
        <v>0</v>
      </c>
      <c r="AH65" s="111">
        <f>SUM(AH59:AH64)</f>
        <v>0</v>
      </c>
      <c r="AI65" s="73"/>
      <c r="AJ65" s="73"/>
      <c r="AK65" s="73"/>
      <c r="AL65" s="73"/>
      <c r="AM65" s="110">
        <f>SUM(AM59:AM64)</f>
        <v>0</v>
      </c>
      <c r="AN65" s="110">
        <f>SUM(AN59:AN64)</f>
        <v>0</v>
      </c>
    </row>
    <row r="66" spans="29:43">
      <c r="AC66" s="4"/>
      <c r="AD66" s="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"/>
      <c r="AP66" s="7"/>
      <c r="AQ66" s="4"/>
    </row>
    <row r="68" spans="29:43">
      <c r="AG68" s="109"/>
      <c r="AH68" s="109"/>
      <c r="AM68" s="109"/>
      <c r="AN68" s="109"/>
    </row>
    <row r="69" spans="29:43">
      <c r="AD69" s="8" t="s">
        <v>92</v>
      </c>
      <c r="AF69" s="8">
        <v>1</v>
      </c>
    </row>
    <row r="70" spans="29:43">
      <c r="AD70" s="8">
        <v>900</v>
      </c>
      <c r="AE70" s="8">
        <f>IF($AD$132=AF70,AD70,0)</f>
        <v>900</v>
      </c>
      <c r="AF70" s="8">
        <v>2</v>
      </c>
    </row>
    <row r="71" spans="29:43">
      <c r="AD71" s="8">
        <f>AD70+10</f>
        <v>910</v>
      </c>
      <c r="AE71" s="8">
        <f t="shared" ref="AE71:AE130" si="42">IF($AD$132=AF71,AD71,0)</f>
        <v>0</v>
      </c>
      <c r="AF71" s="8">
        <f>AF70+1</f>
        <v>3</v>
      </c>
    </row>
    <row r="72" spans="29:43">
      <c r="AD72" s="8">
        <f t="shared" ref="AD72:AD130" si="43">AD71+10</f>
        <v>920</v>
      </c>
      <c r="AE72" s="8">
        <f t="shared" si="42"/>
        <v>0</v>
      </c>
      <c r="AF72" s="8">
        <f t="shared" ref="AF72:AF130" si="44">AF71+1</f>
        <v>4</v>
      </c>
    </row>
    <row r="73" spans="29:43">
      <c r="AD73" s="8">
        <f t="shared" si="43"/>
        <v>930</v>
      </c>
      <c r="AE73" s="8">
        <f t="shared" si="42"/>
        <v>0</v>
      </c>
      <c r="AF73" s="8">
        <f t="shared" si="44"/>
        <v>5</v>
      </c>
    </row>
    <row r="74" spans="29:43">
      <c r="AD74" s="8">
        <f t="shared" si="43"/>
        <v>940</v>
      </c>
      <c r="AE74" s="8">
        <f t="shared" si="42"/>
        <v>0</v>
      </c>
      <c r="AF74" s="8">
        <f t="shared" si="44"/>
        <v>6</v>
      </c>
    </row>
    <row r="75" spans="29:43">
      <c r="AD75" s="8">
        <f t="shared" si="43"/>
        <v>950</v>
      </c>
      <c r="AE75" s="8">
        <f t="shared" si="42"/>
        <v>0</v>
      </c>
      <c r="AF75" s="8">
        <f t="shared" si="44"/>
        <v>7</v>
      </c>
    </row>
    <row r="76" spans="29:43">
      <c r="AD76" s="8">
        <f t="shared" si="43"/>
        <v>960</v>
      </c>
      <c r="AE76" s="8">
        <f t="shared" si="42"/>
        <v>0</v>
      </c>
      <c r="AF76" s="8">
        <f t="shared" si="44"/>
        <v>8</v>
      </c>
    </row>
    <row r="77" spans="29:43">
      <c r="AD77" s="8">
        <f t="shared" si="43"/>
        <v>970</v>
      </c>
      <c r="AE77" s="8">
        <f t="shared" si="42"/>
        <v>0</v>
      </c>
      <c r="AF77" s="8">
        <f t="shared" si="44"/>
        <v>9</v>
      </c>
    </row>
    <row r="78" spans="29:43">
      <c r="AD78" s="8">
        <f t="shared" si="43"/>
        <v>980</v>
      </c>
      <c r="AE78" s="8">
        <f t="shared" si="42"/>
        <v>0</v>
      </c>
      <c r="AF78" s="8">
        <f t="shared" si="44"/>
        <v>10</v>
      </c>
    </row>
    <row r="79" spans="29:43">
      <c r="AD79" s="8">
        <f t="shared" si="43"/>
        <v>990</v>
      </c>
      <c r="AE79" s="8">
        <f t="shared" si="42"/>
        <v>0</v>
      </c>
      <c r="AF79" s="8">
        <f t="shared" si="44"/>
        <v>11</v>
      </c>
    </row>
    <row r="80" spans="29:43">
      <c r="AD80" s="8">
        <f t="shared" si="43"/>
        <v>1000</v>
      </c>
      <c r="AE80" s="8">
        <f t="shared" si="42"/>
        <v>0</v>
      </c>
      <c r="AF80" s="8">
        <f t="shared" si="44"/>
        <v>12</v>
      </c>
    </row>
    <row r="81" spans="30:32">
      <c r="AD81" s="8">
        <f t="shared" si="43"/>
        <v>1010</v>
      </c>
      <c r="AE81" s="8">
        <f t="shared" si="42"/>
        <v>0</v>
      </c>
      <c r="AF81" s="8">
        <f t="shared" si="44"/>
        <v>13</v>
      </c>
    </row>
    <row r="82" spans="30:32">
      <c r="AD82" s="8">
        <f t="shared" si="43"/>
        <v>1020</v>
      </c>
      <c r="AE82" s="8">
        <f t="shared" si="42"/>
        <v>0</v>
      </c>
      <c r="AF82" s="8">
        <f t="shared" si="44"/>
        <v>14</v>
      </c>
    </row>
    <row r="83" spans="30:32">
      <c r="AD83" s="8">
        <f t="shared" si="43"/>
        <v>1030</v>
      </c>
      <c r="AE83" s="8">
        <f t="shared" si="42"/>
        <v>0</v>
      </c>
      <c r="AF83" s="8">
        <f t="shared" si="44"/>
        <v>15</v>
      </c>
    </row>
    <row r="84" spans="30:32">
      <c r="AD84" s="8">
        <f t="shared" si="43"/>
        <v>1040</v>
      </c>
      <c r="AE84" s="8">
        <f t="shared" si="42"/>
        <v>0</v>
      </c>
      <c r="AF84" s="8">
        <f t="shared" si="44"/>
        <v>16</v>
      </c>
    </row>
    <row r="85" spans="30:32">
      <c r="AD85" s="8">
        <f t="shared" si="43"/>
        <v>1050</v>
      </c>
      <c r="AE85" s="8">
        <f t="shared" si="42"/>
        <v>0</v>
      </c>
      <c r="AF85" s="8">
        <f t="shared" si="44"/>
        <v>17</v>
      </c>
    </row>
    <row r="86" spans="30:32">
      <c r="AD86" s="8">
        <f t="shared" si="43"/>
        <v>1060</v>
      </c>
      <c r="AE86" s="8">
        <f t="shared" si="42"/>
        <v>0</v>
      </c>
      <c r="AF86" s="8">
        <f t="shared" si="44"/>
        <v>18</v>
      </c>
    </row>
    <row r="87" spans="30:32">
      <c r="AD87" s="8">
        <f t="shared" si="43"/>
        <v>1070</v>
      </c>
      <c r="AE87" s="8">
        <f t="shared" si="42"/>
        <v>0</v>
      </c>
      <c r="AF87" s="8">
        <f t="shared" si="44"/>
        <v>19</v>
      </c>
    </row>
    <row r="88" spans="30:32">
      <c r="AD88" s="8">
        <f t="shared" si="43"/>
        <v>1080</v>
      </c>
      <c r="AE88" s="8">
        <f t="shared" si="42"/>
        <v>0</v>
      </c>
      <c r="AF88" s="8">
        <f t="shared" si="44"/>
        <v>20</v>
      </c>
    </row>
    <row r="89" spans="30:32">
      <c r="AD89" s="8">
        <f t="shared" si="43"/>
        <v>1090</v>
      </c>
      <c r="AE89" s="8">
        <f t="shared" si="42"/>
        <v>0</v>
      </c>
      <c r="AF89" s="8">
        <f t="shared" si="44"/>
        <v>21</v>
      </c>
    </row>
    <row r="90" spans="30:32">
      <c r="AD90" s="8">
        <f t="shared" si="43"/>
        <v>1100</v>
      </c>
      <c r="AE90" s="8">
        <f t="shared" si="42"/>
        <v>0</v>
      </c>
      <c r="AF90" s="8">
        <f t="shared" si="44"/>
        <v>22</v>
      </c>
    </row>
    <row r="91" spans="30:32">
      <c r="AD91" s="8">
        <f t="shared" si="43"/>
        <v>1110</v>
      </c>
      <c r="AE91" s="8">
        <f t="shared" si="42"/>
        <v>0</v>
      </c>
      <c r="AF91" s="8">
        <f t="shared" si="44"/>
        <v>23</v>
      </c>
    </row>
    <row r="92" spans="30:32">
      <c r="AD92" s="8">
        <f t="shared" si="43"/>
        <v>1120</v>
      </c>
      <c r="AE92" s="8">
        <f t="shared" si="42"/>
        <v>0</v>
      </c>
      <c r="AF92" s="8">
        <f t="shared" si="44"/>
        <v>24</v>
      </c>
    </row>
    <row r="93" spans="30:32">
      <c r="AD93" s="8">
        <f t="shared" si="43"/>
        <v>1130</v>
      </c>
      <c r="AE93" s="8">
        <f t="shared" si="42"/>
        <v>0</v>
      </c>
      <c r="AF93" s="8">
        <f t="shared" si="44"/>
        <v>25</v>
      </c>
    </row>
    <row r="94" spans="30:32">
      <c r="AD94" s="8">
        <f t="shared" si="43"/>
        <v>1140</v>
      </c>
      <c r="AE94" s="8">
        <f t="shared" si="42"/>
        <v>0</v>
      </c>
      <c r="AF94" s="8">
        <f t="shared" si="44"/>
        <v>26</v>
      </c>
    </row>
    <row r="95" spans="30:32">
      <c r="AD95" s="8">
        <f t="shared" si="43"/>
        <v>1150</v>
      </c>
      <c r="AE95" s="8">
        <f t="shared" si="42"/>
        <v>0</v>
      </c>
      <c r="AF95" s="8">
        <f t="shared" si="44"/>
        <v>27</v>
      </c>
    </row>
    <row r="96" spans="30:32">
      <c r="AD96" s="8">
        <f t="shared" si="43"/>
        <v>1160</v>
      </c>
      <c r="AE96" s="8">
        <f t="shared" si="42"/>
        <v>0</v>
      </c>
      <c r="AF96" s="8">
        <f t="shared" si="44"/>
        <v>28</v>
      </c>
    </row>
    <row r="97" spans="30:32">
      <c r="AD97" s="8">
        <f t="shared" si="43"/>
        <v>1170</v>
      </c>
      <c r="AE97" s="8">
        <f t="shared" si="42"/>
        <v>0</v>
      </c>
      <c r="AF97" s="8">
        <f t="shared" si="44"/>
        <v>29</v>
      </c>
    </row>
    <row r="98" spans="30:32">
      <c r="AD98" s="8">
        <f t="shared" si="43"/>
        <v>1180</v>
      </c>
      <c r="AE98" s="8">
        <f t="shared" si="42"/>
        <v>0</v>
      </c>
      <c r="AF98" s="8">
        <f t="shared" si="44"/>
        <v>30</v>
      </c>
    </row>
    <row r="99" spans="30:32">
      <c r="AD99" s="8">
        <f t="shared" si="43"/>
        <v>1190</v>
      </c>
      <c r="AE99" s="8">
        <f t="shared" si="42"/>
        <v>0</v>
      </c>
      <c r="AF99" s="8">
        <f t="shared" si="44"/>
        <v>31</v>
      </c>
    </row>
    <row r="100" spans="30:32">
      <c r="AD100" s="8">
        <f t="shared" si="43"/>
        <v>1200</v>
      </c>
      <c r="AE100" s="8">
        <f t="shared" si="42"/>
        <v>0</v>
      </c>
      <c r="AF100" s="8">
        <f t="shared" si="44"/>
        <v>32</v>
      </c>
    </row>
    <row r="101" spans="30:32">
      <c r="AD101" s="8">
        <f t="shared" si="43"/>
        <v>1210</v>
      </c>
      <c r="AE101" s="8">
        <f t="shared" si="42"/>
        <v>0</v>
      </c>
      <c r="AF101" s="8">
        <f t="shared" si="44"/>
        <v>33</v>
      </c>
    </row>
    <row r="102" spans="30:32">
      <c r="AD102" s="8">
        <f t="shared" si="43"/>
        <v>1220</v>
      </c>
      <c r="AE102" s="8">
        <f t="shared" si="42"/>
        <v>0</v>
      </c>
      <c r="AF102" s="8">
        <f t="shared" si="44"/>
        <v>34</v>
      </c>
    </row>
    <row r="103" spans="30:32">
      <c r="AD103" s="8">
        <f t="shared" si="43"/>
        <v>1230</v>
      </c>
      <c r="AE103" s="8">
        <f t="shared" si="42"/>
        <v>0</v>
      </c>
      <c r="AF103" s="8">
        <f t="shared" si="44"/>
        <v>35</v>
      </c>
    </row>
    <row r="104" spans="30:32">
      <c r="AD104" s="8">
        <f t="shared" si="43"/>
        <v>1240</v>
      </c>
      <c r="AE104" s="8">
        <f t="shared" si="42"/>
        <v>0</v>
      </c>
      <c r="AF104" s="8">
        <f t="shared" si="44"/>
        <v>36</v>
      </c>
    </row>
    <row r="105" spans="30:32">
      <c r="AD105" s="8">
        <f t="shared" si="43"/>
        <v>1250</v>
      </c>
      <c r="AE105" s="8">
        <f t="shared" si="42"/>
        <v>0</v>
      </c>
      <c r="AF105" s="8">
        <f t="shared" si="44"/>
        <v>37</v>
      </c>
    </row>
    <row r="106" spans="30:32">
      <c r="AD106" s="8">
        <f t="shared" si="43"/>
        <v>1260</v>
      </c>
      <c r="AE106" s="8">
        <f t="shared" si="42"/>
        <v>0</v>
      </c>
      <c r="AF106" s="8">
        <f t="shared" si="44"/>
        <v>38</v>
      </c>
    </row>
    <row r="107" spans="30:32">
      <c r="AD107" s="8">
        <f t="shared" si="43"/>
        <v>1270</v>
      </c>
      <c r="AE107" s="8">
        <f t="shared" si="42"/>
        <v>0</v>
      </c>
      <c r="AF107" s="8">
        <f t="shared" si="44"/>
        <v>39</v>
      </c>
    </row>
    <row r="108" spans="30:32">
      <c r="AD108" s="8">
        <f t="shared" si="43"/>
        <v>1280</v>
      </c>
      <c r="AE108" s="8">
        <f t="shared" si="42"/>
        <v>0</v>
      </c>
      <c r="AF108" s="8">
        <f t="shared" si="44"/>
        <v>40</v>
      </c>
    </row>
    <row r="109" spans="30:32">
      <c r="AD109" s="8">
        <f t="shared" si="43"/>
        <v>1290</v>
      </c>
      <c r="AE109" s="8">
        <f t="shared" si="42"/>
        <v>0</v>
      </c>
      <c r="AF109" s="8">
        <f t="shared" si="44"/>
        <v>41</v>
      </c>
    </row>
    <row r="110" spans="30:32">
      <c r="AD110" s="8">
        <f t="shared" si="43"/>
        <v>1300</v>
      </c>
      <c r="AE110" s="8">
        <f t="shared" si="42"/>
        <v>0</v>
      </c>
      <c r="AF110" s="8">
        <f t="shared" si="44"/>
        <v>42</v>
      </c>
    </row>
    <row r="111" spans="30:32">
      <c r="AD111" s="8">
        <f t="shared" si="43"/>
        <v>1310</v>
      </c>
      <c r="AE111" s="8">
        <f t="shared" si="42"/>
        <v>0</v>
      </c>
      <c r="AF111" s="8">
        <f t="shared" si="44"/>
        <v>43</v>
      </c>
    </row>
    <row r="112" spans="30:32">
      <c r="AD112" s="8">
        <f t="shared" si="43"/>
        <v>1320</v>
      </c>
      <c r="AE112" s="8">
        <f t="shared" si="42"/>
        <v>0</v>
      </c>
      <c r="AF112" s="8">
        <f t="shared" si="44"/>
        <v>44</v>
      </c>
    </row>
    <row r="113" spans="30:32">
      <c r="AD113" s="8">
        <f t="shared" si="43"/>
        <v>1330</v>
      </c>
      <c r="AE113" s="8">
        <f t="shared" si="42"/>
        <v>0</v>
      </c>
      <c r="AF113" s="8">
        <f t="shared" si="44"/>
        <v>45</v>
      </c>
    </row>
    <row r="114" spans="30:32">
      <c r="AD114" s="8">
        <f t="shared" si="43"/>
        <v>1340</v>
      </c>
      <c r="AE114" s="8">
        <f t="shared" si="42"/>
        <v>0</v>
      </c>
      <c r="AF114" s="8">
        <f t="shared" si="44"/>
        <v>46</v>
      </c>
    </row>
    <row r="115" spans="30:32">
      <c r="AD115" s="8">
        <f t="shared" si="43"/>
        <v>1350</v>
      </c>
      <c r="AE115" s="8">
        <f t="shared" si="42"/>
        <v>0</v>
      </c>
      <c r="AF115" s="8">
        <f t="shared" si="44"/>
        <v>47</v>
      </c>
    </row>
    <row r="116" spans="30:32">
      <c r="AD116" s="8">
        <f t="shared" si="43"/>
        <v>1360</v>
      </c>
      <c r="AE116" s="8">
        <f t="shared" si="42"/>
        <v>0</v>
      </c>
      <c r="AF116" s="8">
        <f t="shared" si="44"/>
        <v>48</v>
      </c>
    </row>
    <row r="117" spans="30:32">
      <c r="AD117" s="8">
        <f t="shared" si="43"/>
        <v>1370</v>
      </c>
      <c r="AE117" s="8">
        <f t="shared" si="42"/>
        <v>0</v>
      </c>
      <c r="AF117" s="8">
        <f t="shared" si="44"/>
        <v>49</v>
      </c>
    </row>
    <row r="118" spans="30:32">
      <c r="AD118" s="8">
        <f t="shared" si="43"/>
        <v>1380</v>
      </c>
      <c r="AE118" s="8">
        <f t="shared" si="42"/>
        <v>0</v>
      </c>
      <c r="AF118" s="8">
        <f t="shared" si="44"/>
        <v>50</v>
      </c>
    </row>
    <row r="119" spans="30:32">
      <c r="AD119" s="8">
        <f t="shared" si="43"/>
        <v>1390</v>
      </c>
      <c r="AE119" s="8">
        <f t="shared" si="42"/>
        <v>0</v>
      </c>
      <c r="AF119" s="8">
        <f t="shared" si="44"/>
        <v>51</v>
      </c>
    </row>
    <row r="120" spans="30:32">
      <c r="AD120" s="8">
        <f t="shared" si="43"/>
        <v>1400</v>
      </c>
      <c r="AE120" s="8">
        <f t="shared" si="42"/>
        <v>0</v>
      </c>
      <c r="AF120" s="8">
        <f t="shared" si="44"/>
        <v>52</v>
      </c>
    </row>
    <row r="121" spans="30:32">
      <c r="AD121" s="8">
        <f t="shared" si="43"/>
        <v>1410</v>
      </c>
      <c r="AE121" s="8">
        <f t="shared" si="42"/>
        <v>0</v>
      </c>
      <c r="AF121" s="8">
        <f t="shared" si="44"/>
        <v>53</v>
      </c>
    </row>
    <row r="122" spans="30:32">
      <c r="AD122" s="8">
        <f t="shared" si="43"/>
        <v>1420</v>
      </c>
      <c r="AE122" s="8">
        <f t="shared" si="42"/>
        <v>0</v>
      </c>
      <c r="AF122" s="8">
        <f t="shared" si="44"/>
        <v>54</v>
      </c>
    </row>
    <row r="123" spans="30:32">
      <c r="AD123" s="8">
        <f t="shared" si="43"/>
        <v>1430</v>
      </c>
      <c r="AE123" s="8">
        <f t="shared" si="42"/>
        <v>0</v>
      </c>
      <c r="AF123" s="8">
        <f t="shared" si="44"/>
        <v>55</v>
      </c>
    </row>
    <row r="124" spans="30:32">
      <c r="AD124" s="8">
        <f t="shared" si="43"/>
        <v>1440</v>
      </c>
      <c r="AE124" s="8">
        <f t="shared" si="42"/>
        <v>0</v>
      </c>
      <c r="AF124" s="8">
        <f t="shared" si="44"/>
        <v>56</v>
      </c>
    </row>
    <row r="125" spans="30:32">
      <c r="AD125" s="8">
        <f t="shared" si="43"/>
        <v>1450</v>
      </c>
      <c r="AE125" s="8">
        <f t="shared" si="42"/>
        <v>0</v>
      </c>
      <c r="AF125" s="8">
        <f t="shared" si="44"/>
        <v>57</v>
      </c>
    </row>
    <row r="126" spans="30:32">
      <c r="AD126" s="8">
        <f t="shared" si="43"/>
        <v>1460</v>
      </c>
      <c r="AE126" s="8">
        <f t="shared" si="42"/>
        <v>0</v>
      </c>
      <c r="AF126" s="8">
        <f t="shared" si="44"/>
        <v>58</v>
      </c>
    </row>
    <row r="127" spans="30:32">
      <c r="AD127" s="8">
        <f t="shared" si="43"/>
        <v>1470</v>
      </c>
      <c r="AE127" s="8">
        <f t="shared" si="42"/>
        <v>0</v>
      </c>
      <c r="AF127" s="8">
        <f t="shared" si="44"/>
        <v>59</v>
      </c>
    </row>
    <row r="128" spans="30:32">
      <c r="AD128" s="8">
        <f t="shared" si="43"/>
        <v>1480</v>
      </c>
      <c r="AE128" s="8">
        <f t="shared" si="42"/>
        <v>0</v>
      </c>
      <c r="AF128" s="8">
        <f t="shared" si="44"/>
        <v>60</v>
      </c>
    </row>
    <row r="129" spans="30:32">
      <c r="AD129" s="8">
        <f t="shared" si="43"/>
        <v>1490</v>
      </c>
      <c r="AE129" s="8">
        <f t="shared" si="42"/>
        <v>0</v>
      </c>
      <c r="AF129" s="8">
        <f t="shared" si="44"/>
        <v>61</v>
      </c>
    </row>
    <row r="130" spans="30:32">
      <c r="AD130" s="8">
        <f t="shared" si="43"/>
        <v>1500</v>
      </c>
      <c r="AE130" s="8">
        <f t="shared" si="42"/>
        <v>0</v>
      </c>
      <c r="AF130" s="8">
        <f t="shared" si="44"/>
        <v>62</v>
      </c>
    </row>
    <row r="132" spans="30:32">
      <c r="AD132" s="8">
        <v>2</v>
      </c>
      <c r="AE132" s="8">
        <f>SUM(AE69:AE130)</f>
        <v>900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C1:AC5"/>
    <mergeCell ref="A6:C6"/>
    <mergeCell ref="A8:C8"/>
    <mergeCell ref="A10:C10"/>
    <mergeCell ref="E24:H24"/>
    <mergeCell ref="J3:L3"/>
    <mergeCell ref="J5:L5"/>
    <mergeCell ref="G30:H30"/>
    <mergeCell ref="A13:C13"/>
    <mergeCell ref="AC7:AC8"/>
    <mergeCell ref="AE11:AF11"/>
    <mergeCell ref="AK11:AL11"/>
    <mergeCell ref="AE21:AF21"/>
    <mergeCell ref="AK21:AL21"/>
  </mergeCells>
  <conditionalFormatting sqref="E53:X53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AD14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zoomScaleNormal="100" workbookViewId="0">
      <selection activeCell="L13" sqref="L13"/>
    </sheetView>
  </sheetViews>
  <sheetFormatPr defaultRowHeight="15"/>
  <cols>
    <col min="1" max="1" width="14.7109375" style="8" customWidth="1"/>
    <col min="2" max="2" width="16.42578125" style="8" customWidth="1"/>
    <col min="3" max="3" width="10.28515625" style="8" customWidth="1"/>
    <col min="4" max="4" width="9.140625" style="8"/>
    <col min="5" max="24" width="8.85546875" style="8" customWidth="1"/>
    <col min="25" max="29" width="9.140625" style="8" customWidth="1"/>
    <col min="30" max="30" width="10.85546875" style="8" customWidth="1"/>
    <col min="31" max="32" width="9.140625" style="8" customWidth="1"/>
    <col min="33" max="33" width="7.42578125" style="8" customWidth="1"/>
    <col min="34" max="34" width="7" style="8" customWidth="1"/>
    <col min="35" max="36" width="9.140625" style="8" customWidth="1"/>
    <col min="37" max="37" width="8.5703125" style="8" customWidth="1"/>
    <col min="38" max="38" width="9.140625" style="8" customWidth="1"/>
    <col min="39" max="39" width="7.28515625" style="8" customWidth="1"/>
    <col min="40" max="40" width="8" style="8" customWidth="1"/>
    <col min="41" max="41" width="9.140625" style="8" customWidth="1"/>
    <col min="42" max="42" width="9.140625" style="107" customWidth="1"/>
    <col min="43" max="46" width="9.140625" style="8" customWidth="1"/>
    <col min="47" max="16384" width="9.140625" style="8"/>
  </cols>
  <sheetData>
    <row r="1" spans="1:43" s="3" customFormat="1" ht="18.75">
      <c r="A1" s="3" t="s">
        <v>91</v>
      </c>
      <c r="AC1" s="137">
        <v>1</v>
      </c>
      <c r="AD1" s="4" t="s">
        <v>0</v>
      </c>
      <c r="AE1" s="5"/>
      <c r="AG1" s="4" t="s">
        <v>23</v>
      </c>
      <c r="AH1" s="4"/>
      <c r="AI1" s="4"/>
      <c r="AJ1" s="4">
        <v>1</v>
      </c>
      <c r="AK1" s="4">
        <v>3</v>
      </c>
      <c r="AL1" s="6">
        <f>C3</f>
        <v>10</v>
      </c>
      <c r="AM1" s="4"/>
      <c r="AN1" s="4"/>
      <c r="AO1" s="4" t="b">
        <f>AND($AJ$1=1,$AK$1=1,$AL$1&lt;20)</f>
        <v>0</v>
      </c>
      <c r="AP1" s="7">
        <v>0</v>
      </c>
      <c r="AQ1" s="4">
        <f>IF(AO1=TRUE,AP1,0)</f>
        <v>0</v>
      </c>
    </row>
    <row r="2" spans="1:43" ht="15.75" thickBot="1">
      <c r="AC2" s="142"/>
      <c r="AD2" s="4" t="s">
        <v>1</v>
      </c>
      <c r="AE2" s="9"/>
      <c r="AG2" s="4" t="s">
        <v>22</v>
      </c>
      <c r="AH2" s="4"/>
      <c r="AI2" s="4"/>
      <c r="AJ2" s="4"/>
      <c r="AO2" s="4" t="b">
        <f>AND($AJ$1=1,$AK$1=2,$AL$1&lt;20)</f>
        <v>0</v>
      </c>
      <c r="AP2" s="7">
        <v>30</v>
      </c>
      <c r="AQ2" s="4">
        <f>IF(AO2=TRUE,AP2,0)</f>
        <v>0</v>
      </c>
    </row>
    <row r="3" spans="1:43" ht="16.5" thickBot="1">
      <c r="A3" s="10" t="s">
        <v>11</v>
      </c>
      <c r="B3" s="11"/>
      <c r="C3" s="92">
        <v>10</v>
      </c>
      <c r="D3" s="12" t="s">
        <v>18</v>
      </c>
      <c r="H3" s="131"/>
      <c r="J3" s="144" t="s">
        <v>94</v>
      </c>
      <c r="K3" s="144"/>
      <c r="L3" s="144"/>
      <c r="AC3" s="142"/>
      <c r="AD3" s="4" t="s">
        <v>2</v>
      </c>
      <c r="AE3" s="9"/>
      <c r="AG3" s="4" t="s">
        <v>21</v>
      </c>
      <c r="AH3" s="4"/>
      <c r="AI3" s="4"/>
      <c r="AJ3" s="4"/>
      <c r="AO3" s="4" t="b">
        <f>AND($AJ$1=1,$AK$1=3,$AL$1&lt;20)</f>
        <v>1</v>
      </c>
      <c r="AP3" s="7">
        <v>20</v>
      </c>
      <c r="AQ3" s="4">
        <f t="shared" ref="AQ3:AQ25" si="0">IF(AO3=TRUE,AP3,0)</f>
        <v>20</v>
      </c>
    </row>
    <row r="4" spans="1:43" ht="16.5" thickBot="1">
      <c r="A4" s="13"/>
      <c r="B4" s="13"/>
      <c r="C4" s="14"/>
      <c r="D4" s="13"/>
      <c r="J4" s="133"/>
      <c r="K4" s="133"/>
      <c r="L4" s="133"/>
      <c r="AC4" s="142"/>
      <c r="AD4" s="4" t="s">
        <v>3</v>
      </c>
      <c r="AE4" s="9"/>
      <c r="AG4" s="4"/>
      <c r="AH4" s="4"/>
      <c r="AI4" s="4"/>
      <c r="AJ4" s="4"/>
      <c r="AO4" s="4"/>
      <c r="AP4" s="7"/>
      <c r="AQ4" s="4"/>
    </row>
    <row r="5" spans="1:43" ht="15.75">
      <c r="A5" s="15"/>
      <c r="B5" s="16"/>
      <c r="C5" s="16"/>
      <c r="D5" s="16"/>
      <c r="E5" s="17"/>
      <c r="F5" s="18"/>
      <c r="H5" s="130"/>
      <c r="J5" s="144" t="s">
        <v>95</v>
      </c>
      <c r="K5" s="144"/>
      <c r="L5" s="144"/>
      <c r="AC5" s="142"/>
      <c r="AD5" s="4" t="s">
        <v>4</v>
      </c>
      <c r="AE5" s="9"/>
      <c r="AG5" s="19"/>
      <c r="AO5" s="4" t="b">
        <f>AND($AJ$1=1,$AK$1=4,$AL$1&lt;20)</f>
        <v>0</v>
      </c>
      <c r="AP5" s="20">
        <v>50</v>
      </c>
      <c r="AQ5" s="4">
        <f t="shared" si="0"/>
        <v>0</v>
      </c>
    </row>
    <row r="6" spans="1:43" ht="16.5" thickBot="1">
      <c r="A6" s="135" t="s">
        <v>20</v>
      </c>
      <c r="B6" s="136"/>
      <c r="C6" s="136"/>
      <c r="D6" s="13"/>
      <c r="E6" s="4"/>
      <c r="F6" s="9"/>
      <c r="AD6" s="4"/>
      <c r="AG6" s="19"/>
      <c r="AO6" s="4" t="b">
        <f>AND($AJ$1=2,$AK$1=1,$AL$1&lt;20)</f>
        <v>0</v>
      </c>
      <c r="AP6" s="7">
        <v>0</v>
      </c>
      <c r="AQ6" s="4">
        <f t="shared" si="0"/>
        <v>0</v>
      </c>
    </row>
    <row r="7" spans="1:43" ht="15.75">
      <c r="A7" s="103"/>
      <c r="B7" s="13"/>
      <c r="C7" s="13"/>
      <c r="D7" s="13"/>
      <c r="E7" s="4"/>
      <c r="F7" s="9"/>
      <c r="AC7" s="137">
        <v>1</v>
      </c>
      <c r="AD7" s="17" t="s">
        <v>5</v>
      </c>
      <c r="AE7" s="18"/>
      <c r="AO7" s="4" t="b">
        <f>AND($AJ$1=2,$AK$1=2,$AL$1&lt;20)</f>
        <v>0</v>
      </c>
      <c r="AP7" s="20">
        <v>20</v>
      </c>
      <c r="AQ7" s="4">
        <f t="shared" si="0"/>
        <v>0</v>
      </c>
    </row>
    <row r="8" spans="1:43" ht="16.5" thickBot="1">
      <c r="A8" s="135" t="s">
        <v>19</v>
      </c>
      <c r="B8" s="136"/>
      <c r="C8" s="136"/>
      <c r="D8" s="13"/>
      <c r="E8" s="4"/>
      <c r="F8" s="9"/>
      <c r="AC8" s="138"/>
      <c r="AD8" s="22"/>
      <c r="AE8" s="23"/>
      <c r="AO8" s="4" t="b">
        <f>AND($AJ$1=2,$AK$1=3,$AL$1&lt;20)</f>
        <v>0</v>
      </c>
      <c r="AP8" s="20">
        <v>10</v>
      </c>
      <c r="AQ8" s="4">
        <f t="shared" si="0"/>
        <v>0</v>
      </c>
    </row>
    <row r="9" spans="1:43" ht="15.75">
      <c r="A9" s="103"/>
      <c r="B9" s="13"/>
      <c r="C9" s="13"/>
      <c r="D9" s="13"/>
      <c r="E9" s="4"/>
      <c r="F9" s="9"/>
      <c r="AO9" s="4" t="b">
        <f>AND($AJ$1=2,$AK$1=4,$AL$1&lt;20)</f>
        <v>0</v>
      </c>
      <c r="AP9" s="20">
        <v>30</v>
      </c>
      <c r="AQ9" s="4">
        <f t="shared" si="0"/>
        <v>0</v>
      </c>
    </row>
    <row r="10" spans="1:43" ht="16.5" thickBot="1">
      <c r="A10" s="135" t="s">
        <v>24</v>
      </c>
      <c r="B10" s="136"/>
      <c r="C10" s="136"/>
      <c r="D10" s="13"/>
      <c r="E10" s="4"/>
      <c r="F10" s="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" t="b">
        <f>AND($AJ$1=3,$AK$1=1,$AL$1&lt;20)</f>
        <v>0</v>
      </c>
      <c r="AP10" s="7">
        <v>0</v>
      </c>
      <c r="AQ10" s="4">
        <f t="shared" si="0"/>
        <v>0</v>
      </c>
    </row>
    <row r="11" spans="1:43">
      <c r="A11" s="25"/>
      <c r="B11" s="4"/>
      <c r="C11" s="4"/>
      <c r="D11" s="4"/>
      <c r="E11" s="4"/>
      <c r="F11" s="9"/>
      <c r="AC11" s="26"/>
      <c r="AD11" s="17"/>
      <c r="AE11" s="139" t="s">
        <v>9</v>
      </c>
      <c r="AF11" s="140"/>
      <c r="AG11" s="107"/>
      <c r="AH11" s="107"/>
      <c r="AI11" s="105"/>
      <c r="AJ11" s="17"/>
      <c r="AK11" s="139"/>
      <c r="AL11" s="140"/>
      <c r="AM11" s="4"/>
      <c r="AN11" s="4"/>
      <c r="AO11" s="4" t="b">
        <f>AND($AJ$1=3,$AK$1=2,$AL$1&lt;20)</f>
        <v>0</v>
      </c>
      <c r="AP11" s="20">
        <v>10</v>
      </c>
      <c r="AQ11" s="4">
        <f t="shared" si="0"/>
        <v>0</v>
      </c>
    </row>
    <row r="12" spans="1:43" ht="15.75">
      <c r="A12" s="29"/>
      <c r="B12" s="30"/>
      <c r="C12" s="30"/>
      <c r="D12" s="4"/>
      <c r="E12" s="4"/>
      <c r="F12" s="9"/>
      <c r="AC12" s="25"/>
      <c r="AD12" s="4"/>
      <c r="AE12" s="7" t="s">
        <v>7</v>
      </c>
      <c r="AF12" s="31" t="s">
        <v>8</v>
      </c>
      <c r="AG12" s="107"/>
      <c r="AH12" s="107"/>
      <c r="AI12" s="106"/>
      <c r="AJ12" s="4"/>
      <c r="AK12" s="7"/>
      <c r="AL12" s="31"/>
      <c r="AM12" s="33"/>
      <c r="AN12" s="33"/>
      <c r="AO12" s="4" t="b">
        <f>AND($AJ$1=3,$AK$1=3,$AL$1&lt;20)</f>
        <v>0</v>
      </c>
      <c r="AP12" s="20">
        <v>5</v>
      </c>
      <c r="AQ12" s="4">
        <f t="shared" si="0"/>
        <v>0</v>
      </c>
    </row>
    <row r="13" spans="1:43" ht="15.75">
      <c r="A13" s="135" t="s">
        <v>25</v>
      </c>
      <c r="B13" s="136"/>
      <c r="C13" s="136"/>
      <c r="D13" s="4"/>
      <c r="E13" s="4"/>
      <c r="F13" s="9"/>
      <c r="AC13" s="25" t="b">
        <f>AND($AC$1=1,$AC$7=1,$C$3&lt;=20,$C$3&gt;=1)</f>
        <v>1</v>
      </c>
      <c r="AD13" s="34" t="s">
        <v>89</v>
      </c>
      <c r="AE13" s="7">
        <v>288</v>
      </c>
      <c r="AF13" s="31">
        <v>186</v>
      </c>
      <c r="AG13" s="107">
        <f t="shared" ref="AG13:AG15" si="1">IF(AC13=TRUE,AE13,0)</f>
        <v>288</v>
      </c>
      <c r="AH13" s="107">
        <f t="shared" ref="AH13:AH15" si="2">IF(AC13=TRUE,AF13,0)</f>
        <v>186</v>
      </c>
      <c r="AI13" s="25"/>
      <c r="AJ13" s="34"/>
      <c r="AK13" s="7"/>
      <c r="AL13" s="31"/>
      <c r="AM13" s="7">
        <f>IF(AI13=TRUE,AK13,0)</f>
        <v>0</v>
      </c>
      <c r="AN13" s="7">
        <f>IF(AI13=TRUE,AL13,0)</f>
        <v>0</v>
      </c>
      <c r="AO13" s="4" t="b">
        <f>AND($AJ$1=3,$AK$1=4,$AL$1&lt;20)</f>
        <v>0</v>
      </c>
      <c r="AP13" s="20">
        <v>15</v>
      </c>
      <c r="AQ13" s="4">
        <f t="shared" si="0"/>
        <v>0</v>
      </c>
    </row>
    <row r="14" spans="1:43">
      <c r="A14" s="25"/>
      <c r="B14" s="4"/>
      <c r="C14" s="4"/>
      <c r="D14" s="4"/>
      <c r="E14" s="4"/>
      <c r="F14" s="9"/>
      <c r="AC14" s="25" t="b">
        <f>AND($AC$1=1,$AC$7=1,$C$3&lt;=200,$C$3&gt;20)</f>
        <v>0</v>
      </c>
      <c r="AD14" s="34" t="s">
        <v>14</v>
      </c>
      <c r="AE14" s="7">
        <v>276</v>
      </c>
      <c r="AF14" s="31">
        <v>174</v>
      </c>
      <c r="AG14" s="107">
        <f t="shared" si="1"/>
        <v>0</v>
      </c>
      <c r="AH14" s="107">
        <f t="shared" si="2"/>
        <v>0</v>
      </c>
      <c r="AI14" s="25"/>
      <c r="AJ14" s="34"/>
      <c r="AK14" s="7"/>
      <c r="AL14" s="31"/>
      <c r="AM14" s="7">
        <f t="shared" ref="AM14:AM18" si="3">IF(AI14=TRUE,AK14,0)</f>
        <v>0</v>
      </c>
      <c r="AN14" s="7">
        <f t="shared" ref="AN14:AN18" si="4">IF(AI14=TRUE,AL14,0)</f>
        <v>0</v>
      </c>
      <c r="AO14" s="4" t="b">
        <f>AND($AJ$1=1,$AK$1=1,$AL$1&gt;20)</f>
        <v>0</v>
      </c>
      <c r="AP14" s="107">
        <v>0</v>
      </c>
      <c r="AQ14" s="4">
        <f t="shared" si="0"/>
        <v>0</v>
      </c>
    </row>
    <row r="15" spans="1:43" ht="22.5" customHeight="1" thickBot="1">
      <c r="A15" s="35"/>
      <c r="B15" s="22"/>
      <c r="C15" s="22"/>
      <c r="D15" s="22"/>
      <c r="E15" s="22"/>
      <c r="F15" s="23"/>
      <c r="AC15" s="25" t="b">
        <f>AND($AC$1=1,$AC$7=1,$C$3&gt;200)</f>
        <v>0</v>
      </c>
      <c r="AD15" s="34" t="s">
        <v>90</v>
      </c>
      <c r="AE15" s="7">
        <v>255</v>
      </c>
      <c r="AF15" s="31">
        <v>153</v>
      </c>
      <c r="AG15" s="107">
        <f t="shared" si="1"/>
        <v>0</v>
      </c>
      <c r="AH15" s="107">
        <f t="shared" si="2"/>
        <v>0</v>
      </c>
      <c r="AI15" s="25"/>
      <c r="AJ15" s="34"/>
      <c r="AK15" s="7"/>
      <c r="AL15" s="31"/>
      <c r="AM15" s="7">
        <f t="shared" si="3"/>
        <v>0</v>
      </c>
      <c r="AN15" s="7">
        <f t="shared" si="4"/>
        <v>0</v>
      </c>
      <c r="AO15" s="4" t="b">
        <f>AND($AJ$1=1,$AK$1=2,$AL$1&gt;20)</f>
        <v>0</v>
      </c>
      <c r="AP15" s="107">
        <v>20</v>
      </c>
      <c r="AQ15" s="4">
        <f t="shared" si="0"/>
        <v>0</v>
      </c>
    </row>
    <row r="16" spans="1:43" ht="13.5" customHeight="1" thickBot="1">
      <c r="AC16" s="25"/>
      <c r="AD16" s="34"/>
      <c r="AE16" s="7"/>
      <c r="AF16" s="31"/>
      <c r="AG16" s="107"/>
      <c r="AH16" s="107"/>
      <c r="AI16" s="25"/>
      <c r="AJ16" s="34"/>
      <c r="AK16" s="7"/>
      <c r="AL16" s="31"/>
      <c r="AM16" s="7">
        <f t="shared" si="3"/>
        <v>0</v>
      </c>
      <c r="AN16" s="7">
        <f t="shared" si="4"/>
        <v>0</v>
      </c>
      <c r="AO16" s="4" t="b">
        <f>AND($AJ$1=1,$AK$1=3,$AL$1&gt;20)</f>
        <v>0</v>
      </c>
      <c r="AP16" s="107">
        <v>20</v>
      </c>
      <c r="AQ16" s="4">
        <f t="shared" si="0"/>
        <v>0</v>
      </c>
    </row>
    <row r="17" spans="1:44" ht="15.75" thickBot="1">
      <c r="D17" s="36" t="s">
        <v>29</v>
      </c>
      <c r="E17" s="37" t="s">
        <v>28</v>
      </c>
      <c r="F17" s="38" t="s">
        <v>30</v>
      </c>
      <c r="AC17" s="25"/>
      <c r="AD17" s="34"/>
      <c r="AE17" s="7"/>
      <c r="AF17" s="31"/>
      <c r="AG17" s="107"/>
      <c r="AH17" s="107"/>
      <c r="AI17" s="25"/>
      <c r="AJ17" s="34"/>
      <c r="AK17" s="7"/>
      <c r="AL17" s="31"/>
      <c r="AM17" s="7">
        <f t="shared" si="3"/>
        <v>0</v>
      </c>
      <c r="AN17" s="7">
        <f t="shared" si="4"/>
        <v>0</v>
      </c>
      <c r="AO17" s="4" t="b">
        <f>AND($AJ$1=1,$AK$1=4,$AL$1&gt;20)</f>
        <v>0</v>
      </c>
      <c r="AP17" s="107">
        <v>40</v>
      </c>
      <c r="AQ17" s="4">
        <f t="shared" si="0"/>
        <v>0</v>
      </c>
    </row>
    <row r="18" spans="1:44" ht="15.75" thickBot="1">
      <c r="A18" s="39" t="s">
        <v>26</v>
      </c>
      <c r="B18" s="40"/>
      <c r="C18" s="41"/>
      <c r="D18" s="42">
        <f>E18+F18</f>
        <v>308</v>
      </c>
      <c r="E18" s="7">
        <f>AG19+AG29+AG39+AG51+AG65+AM19+AM29+AM39+AM51+AM65</f>
        <v>288</v>
      </c>
      <c r="F18" s="43">
        <f>AQ27</f>
        <v>20</v>
      </c>
      <c r="AC18" s="35"/>
      <c r="AD18" s="44"/>
      <c r="AE18" s="45"/>
      <c r="AF18" s="31"/>
      <c r="AG18" s="107"/>
      <c r="AH18" s="107"/>
      <c r="AI18" s="35"/>
      <c r="AJ18" s="44"/>
      <c r="AK18" s="45"/>
      <c r="AL18" s="46"/>
      <c r="AM18" s="7">
        <f t="shared" si="3"/>
        <v>0</v>
      </c>
      <c r="AN18" s="7">
        <f t="shared" si="4"/>
        <v>0</v>
      </c>
      <c r="AO18" s="4" t="b">
        <f>AND($AJ$1=2,$AK$1=1,$AL$1&gt;20)</f>
        <v>0</v>
      </c>
      <c r="AP18" s="107">
        <v>0</v>
      </c>
      <c r="AQ18" s="4">
        <f t="shared" si="0"/>
        <v>0</v>
      </c>
    </row>
    <row r="19" spans="1:44" ht="15.75" thickBot="1">
      <c r="A19" s="47" t="s">
        <v>27</v>
      </c>
      <c r="B19" s="48"/>
      <c r="C19" s="49"/>
      <c r="D19" s="50">
        <f>E19+F19</f>
        <v>206</v>
      </c>
      <c r="E19" s="51">
        <f>AH19+AH29+AH39+AH51+AH65+AN19+AN29+AN39+AN51+AN65</f>
        <v>186</v>
      </c>
      <c r="F19" s="52">
        <f>AQ27</f>
        <v>20</v>
      </c>
      <c r="AE19" s="107"/>
      <c r="AF19" s="107"/>
      <c r="AG19" s="53">
        <f>SUM(AG13:AG18)</f>
        <v>288</v>
      </c>
      <c r="AH19" s="54">
        <f>SUM(AH13:AH18)</f>
        <v>186</v>
      </c>
      <c r="AK19" s="107"/>
      <c r="AL19" s="107"/>
      <c r="AM19" s="53">
        <f>SUM(AM13:AM18)</f>
        <v>0</v>
      </c>
      <c r="AN19" s="53">
        <f>SUM(AN13:AN18)</f>
        <v>0</v>
      </c>
      <c r="AO19" s="4" t="b">
        <f>AND($AJ$1=2,$AK$1=2,$AL$1&gt;20)</f>
        <v>0</v>
      </c>
      <c r="AP19" s="107">
        <v>10</v>
      </c>
      <c r="AQ19" s="4">
        <f t="shared" si="0"/>
        <v>0</v>
      </c>
    </row>
    <row r="20" spans="1:44" ht="24" customHeight="1" thickBot="1">
      <c r="A20" s="55"/>
      <c r="B20" s="4"/>
      <c r="C20" s="4"/>
      <c r="D20" s="56"/>
      <c r="E20" s="7"/>
      <c r="F20" s="7"/>
      <c r="AE20" s="107"/>
      <c r="AF20" s="107"/>
      <c r="AG20" s="7"/>
      <c r="AH20" s="7"/>
      <c r="AK20" s="107"/>
      <c r="AL20" s="107"/>
      <c r="AM20" s="7"/>
      <c r="AN20" s="7"/>
      <c r="AO20" s="4"/>
      <c r="AQ20" s="4"/>
    </row>
    <row r="21" spans="1:44" ht="12.75" customHeight="1">
      <c r="A21" s="26"/>
      <c r="B21" s="17"/>
      <c r="C21" s="17"/>
      <c r="D21" s="17"/>
      <c r="E21" s="17"/>
      <c r="F21" s="17"/>
      <c r="G21" s="17"/>
      <c r="H21" s="17"/>
      <c r="I21" s="17"/>
      <c r="J21" s="18"/>
      <c r="AE21" s="141"/>
      <c r="AF21" s="141"/>
      <c r="AG21" s="107"/>
      <c r="AH21" s="107"/>
      <c r="AK21" s="141"/>
      <c r="AL21" s="141"/>
      <c r="AM21" s="107"/>
      <c r="AN21" s="107"/>
      <c r="AO21" s="4" t="b">
        <f>AND($AJ$1=2,$AK$1=3,$AL$1&gt;20)</f>
        <v>0</v>
      </c>
      <c r="AP21" s="107">
        <v>10</v>
      </c>
      <c r="AQ21" s="4">
        <f t="shared" si="0"/>
        <v>0</v>
      </c>
    </row>
    <row r="22" spans="1:44" s="61" customFormat="1" ht="22.5" customHeight="1">
      <c r="A22" s="57" t="s">
        <v>50</v>
      </c>
      <c r="B22" s="2"/>
      <c r="C22" s="1">
        <v>1150</v>
      </c>
      <c r="D22" s="59"/>
      <c r="E22" s="147" t="s">
        <v>32</v>
      </c>
      <c r="F22" s="147"/>
      <c r="G22" s="147"/>
      <c r="H22" s="147"/>
      <c r="I22" s="147"/>
      <c r="J22" s="60"/>
      <c r="AC22" s="62"/>
      <c r="AD22" s="63"/>
      <c r="AE22" s="64" t="s">
        <v>7</v>
      </c>
      <c r="AF22" s="65" t="s">
        <v>8</v>
      </c>
      <c r="AG22" s="66"/>
      <c r="AH22" s="66"/>
      <c r="AI22" s="62"/>
      <c r="AJ22" s="63"/>
      <c r="AK22" s="64"/>
      <c r="AL22" s="65"/>
      <c r="AM22" s="64"/>
      <c r="AN22" s="64"/>
      <c r="AO22" s="61" t="b">
        <f>AND($AJ$1=3,$AK$1=1,$AL$1&gt;20)</f>
        <v>0</v>
      </c>
      <c r="AP22" s="66">
        <v>0</v>
      </c>
      <c r="AQ22" s="61">
        <f t="shared" si="0"/>
        <v>0</v>
      </c>
    </row>
    <row r="23" spans="1:44" s="70" customFormat="1" ht="15.75">
      <c r="A23" s="67" t="s">
        <v>33</v>
      </c>
      <c r="B23" s="13"/>
      <c r="C23" s="68">
        <f>AE84*C3</f>
        <v>11500</v>
      </c>
      <c r="D23" s="108" t="s">
        <v>31</v>
      </c>
      <c r="E23" s="13"/>
      <c r="F23" s="13"/>
      <c r="G23" s="13"/>
      <c r="H23" s="13"/>
      <c r="I23" s="13"/>
      <c r="J23" s="69"/>
      <c r="AC23" s="25" t="b">
        <f>AND($AC$1=2,$AC$7=1,$C$3&lt;=20,$C$3&gt;=1)</f>
        <v>0</v>
      </c>
      <c r="AD23" s="34" t="s">
        <v>89</v>
      </c>
      <c r="AE23" s="71">
        <v>242</v>
      </c>
      <c r="AF23" s="31">
        <v>160</v>
      </c>
      <c r="AG23" s="107">
        <f t="shared" ref="AG23:AG25" si="5">IF(AC23=TRUE,AE23,0)</f>
        <v>0</v>
      </c>
      <c r="AH23" s="107">
        <f t="shared" ref="AH23:AH25" si="6">IF(AC23=TRUE,AF23,0)</f>
        <v>0</v>
      </c>
      <c r="AI23" s="25"/>
      <c r="AJ23" s="34"/>
      <c r="AK23" s="71"/>
      <c r="AL23" s="72"/>
      <c r="AM23" s="7">
        <f>IF(AI23=TRUE,AK23,0)</f>
        <v>0</v>
      </c>
      <c r="AN23" s="7">
        <f>IF(AI23=TRUE,AL23,0)</f>
        <v>0</v>
      </c>
      <c r="AO23" s="13" t="b">
        <f>AND($AJ$1=3,$AK$1=2,$AL$1&gt;20)</f>
        <v>0</v>
      </c>
      <c r="AP23" s="73">
        <v>5</v>
      </c>
      <c r="AQ23" s="13">
        <f t="shared" si="0"/>
        <v>0</v>
      </c>
    </row>
    <row r="24" spans="1:44" s="70" customFormat="1" ht="15.75">
      <c r="A24" s="67" t="s">
        <v>34</v>
      </c>
      <c r="B24" s="13"/>
      <c r="C24" s="1">
        <v>2500</v>
      </c>
      <c r="D24" s="108" t="s">
        <v>31</v>
      </c>
      <c r="E24" s="143" t="s">
        <v>35</v>
      </c>
      <c r="F24" s="143"/>
      <c r="G24" s="143"/>
      <c r="H24" s="143"/>
      <c r="I24" s="108"/>
      <c r="J24" s="69"/>
      <c r="AC24" s="25" t="b">
        <f>AND($AC$1=2,$AC$7=1,$C$3&lt;=200,$C$3&gt;20)</f>
        <v>0</v>
      </c>
      <c r="AD24" s="34" t="s">
        <v>14</v>
      </c>
      <c r="AE24" s="71">
        <v>231</v>
      </c>
      <c r="AF24" s="31">
        <v>149</v>
      </c>
      <c r="AG24" s="107">
        <f t="shared" si="5"/>
        <v>0</v>
      </c>
      <c r="AH24" s="107">
        <f t="shared" si="6"/>
        <v>0</v>
      </c>
      <c r="AI24" s="25"/>
      <c r="AJ24" s="34"/>
      <c r="AK24" s="71"/>
      <c r="AL24" s="72"/>
      <c r="AM24" s="7">
        <f t="shared" ref="AM24:AM28" si="7">IF(AI24=TRUE,AK24,0)</f>
        <v>0</v>
      </c>
      <c r="AN24" s="7">
        <f t="shared" ref="AN24:AN28" si="8">IF(AI24=TRUE,AL24,0)</f>
        <v>0</v>
      </c>
      <c r="AO24" s="13" t="b">
        <f>AND($AJ$1=3,$AK$1=3,$AL$1&gt;20)</f>
        <v>0</v>
      </c>
      <c r="AP24" s="73">
        <v>5</v>
      </c>
      <c r="AQ24" s="13">
        <f t="shared" si="0"/>
        <v>0</v>
      </c>
    </row>
    <row r="25" spans="1:44" s="70" customFormat="1" ht="15.75">
      <c r="A25" s="67"/>
      <c r="B25" s="13"/>
      <c r="C25" s="74"/>
      <c r="D25" s="104"/>
      <c r="E25" s="104"/>
      <c r="F25" s="104"/>
      <c r="G25" s="104"/>
      <c r="H25" s="104"/>
      <c r="I25" s="104"/>
      <c r="J25" s="69"/>
      <c r="AC25" s="25" t="b">
        <f>AND($AC$1=2,$AC$7=1,$C$3&gt;200)</f>
        <v>0</v>
      </c>
      <c r="AD25" s="34" t="s">
        <v>90</v>
      </c>
      <c r="AE25" s="71">
        <v>217</v>
      </c>
      <c r="AF25" s="31">
        <v>135</v>
      </c>
      <c r="AG25" s="107">
        <f t="shared" si="5"/>
        <v>0</v>
      </c>
      <c r="AH25" s="107">
        <f t="shared" si="6"/>
        <v>0</v>
      </c>
      <c r="AI25" s="25"/>
      <c r="AJ25" s="34"/>
      <c r="AK25" s="71"/>
      <c r="AL25" s="72"/>
      <c r="AM25" s="7">
        <f t="shared" si="7"/>
        <v>0</v>
      </c>
      <c r="AN25" s="7">
        <f t="shared" si="8"/>
        <v>0</v>
      </c>
      <c r="AO25" s="13" t="b">
        <f>AND($AJ$1=3,$AK$1=4,$AL$1&gt;20)</f>
        <v>0</v>
      </c>
      <c r="AP25" s="73">
        <v>10</v>
      </c>
      <c r="AQ25" s="13">
        <f t="shared" si="0"/>
        <v>0</v>
      </c>
    </row>
    <row r="26" spans="1:44" s="61" customFormat="1" ht="22.5" customHeight="1">
      <c r="A26" s="57" t="s">
        <v>36</v>
      </c>
      <c r="B26" s="2"/>
      <c r="C26" s="58">
        <f>C24/100*AR40</f>
        <v>1250</v>
      </c>
      <c r="D26" s="59" t="s">
        <v>31</v>
      </c>
      <c r="E26" s="75" t="s">
        <v>46</v>
      </c>
      <c r="F26" s="75"/>
      <c r="G26" s="75"/>
      <c r="H26" s="75"/>
      <c r="I26" s="59"/>
      <c r="J26" s="60"/>
      <c r="AC26" s="25"/>
      <c r="AD26" s="34"/>
      <c r="AE26" s="64"/>
      <c r="AF26" s="65"/>
      <c r="AG26" s="107"/>
      <c r="AH26" s="107"/>
      <c r="AI26" s="25"/>
      <c r="AJ26" s="34"/>
      <c r="AK26" s="64"/>
      <c r="AL26" s="65"/>
      <c r="AM26" s="7">
        <f t="shared" si="7"/>
        <v>0</v>
      </c>
      <c r="AN26" s="7">
        <f t="shared" si="8"/>
        <v>0</v>
      </c>
      <c r="AP26" s="66"/>
    </row>
    <row r="27" spans="1:44" s="70" customFormat="1" ht="15.75">
      <c r="A27" s="76" t="s">
        <v>37</v>
      </c>
      <c r="B27" s="77"/>
      <c r="C27" s="68">
        <f>C23-C26</f>
        <v>10250</v>
      </c>
      <c r="D27" s="108" t="s">
        <v>31</v>
      </c>
      <c r="E27" s="77"/>
      <c r="F27" s="77"/>
      <c r="G27" s="77"/>
      <c r="H27" s="77"/>
      <c r="I27" s="77"/>
      <c r="J27" s="78"/>
      <c r="AC27" s="25"/>
      <c r="AD27" s="34"/>
      <c r="AE27" s="71"/>
      <c r="AF27" s="72"/>
      <c r="AG27" s="107"/>
      <c r="AH27" s="107"/>
      <c r="AI27" s="25"/>
      <c r="AJ27" s="34"/>
      <c r="AK27" s="71"/>
      <c r="AL27" s="72"/>
      <c r="AM27" s="7">
        <f t="shared" si="7"/>
        <v>0</v>
      </c>
      <c r="AN27" s="7">
        <f t="shared" si="8"/>
        <v>0</v>
      </c>
      <c r="AP27" s="73"/>
      <c r="AQ27" s="79">
        <f>SUM(AQ1:AQ26)</f>
        <v>20</v>
      </c>
    </row>
    <row r="28" spans="1:44" s="70" customFormat="1" ht="16.5" thickBot="1">
      <c r="A28" s="76" t="s">
        <v>38</v>
      </c>
      <c r="B28" s="13"/>
      <c r="C28" s="68">
        <f>C24-C26</f>
        <v>1250</v>
      </c>
      <c r="D28" s="108" t="s">
        <v>31</v>
      </c>
      <c r="E28" s="13"/>
      <c r="F28" s="13"/>
      <c r="G28" s="13"/>
      <c r="H28" s="13"/>
      <c r="I28" s="13"/>
      <c r="J28" s="69"/>
      <c r="AC28" s="35"/>
      <c r="AD28" s="44"/>
      <c r="AE28" s="80"/>
      <c r="AF28" s="81"/>
      <c r="AG28" s="107"/>
      <c r="AH28" s="107"/>
      <c r="AI28" s="35"/>
      <c r="AJ28" s="44"/>
      <c r="AK28" s="80"/>
      <c r="AL28" s="81"/>
      <c r="AM28" s="7">
        <f t="shared" si="7"/>
        <v>0</v>
      </c>
      <c r="AN28" s="7">
        <f t="shared" si="8"/>
        <v>0</v>
      </c>
      <c r="AP28" s="73"/>
    </row>
    <row r="29" spans="1:44" s="70" customFormat="1" ht="16.5" thickBot="1">
      <c r="A29" s="76"/>
      <c r="B29" s="13"/>
      <c r="C29" s="68"/>
      <c r="D29" s="108"/>
      <c r="E29" s="13"/>
      <c r="F29" s="13"/>
      <c r="G29" s="13"/>
      <c r="H29" s="13"/>
      <c r="I29" s="13"/>
      <c r="J29" s="69"/>
      <c r="AE29" s="73"/>
      <c r="AF29" s="73"/>
      <c r="AG29" s="82">
        <f>SUM(AG23:AG28)</f>
        <v>0</v>
      </c>
      <c r="AH29" s="83">
        <f>SUM(AH23:AH28)</f>
        <v>0</v>
      </c>
      <c r="AK29" s="73"/>
      <c r="AL29" s="73"/>
      <c r="AM29" s="82">
        <f>SUM(AM23:AM28)</f>
        <v>0</v>
      </c>
      <c r="AN29" s="82">
        <f>SUM(AN23:AN28)</f>
        <v>0</v>
      </c>
      <c r="AP29" s="73"/>
    </row>
    <row r="30" spans="1:44" s="70" customFormat="1" ht="15.75">
      <c r="A30" s="76" t="s">
        <v>39</v>
      </c>
      <c r="B30" s="13"/>
      <c r="C30" s="1">
        <v>2500</v>
      </c>
      <c r="D30" s="108" t="s">
        <v>40</v>
      </c>
      <c r="E30" s="101" t="s">
        <v>88</v>
      </c>
      <c r="F30" s="102"/>
      <c r="G30" s="145">
        <f>C30*C3</f>
        <v>25000</v>
      </c>
      <c r="H30" s="146"/>
      <c r="I30" s="13"/>
      <c r="J30" s="69"/>
      <c r="AP30" s="84" t="s">
        <v>43</v>
      </c>
      <c r="AR30" s="70">
        <f>IF($AP$40=1,30,0)</f>
        <v>0</v>
      </c>
    </row>
    <row r="31" spans="1:44" s="70" customFormat="1" ht="15.75">
      <c r="A31" s="76" t="s">
        <v>41</v>
      </c>
      <c r="B31" s="13"/>
      <c r="C31" s="1">
        <v>150</v>
      </c>
      <c r="D31" s="108" t="s">
        <v>40</v>
      </c>
      <c r="E31" s="13"/>
      <c r="F31" s="13"/>
      <c r="G31" s="13"/>
      <c r="H31" s="13"/>
      <c r="I31" s="13"/>
      <c r="J31" s="69"/>
      <c r="AP31" s="84" t="s">
        <v>45</v>
      </c>
      <c r="AR31" s="70">
        <f>IF($AP$40=2,40,0)</f>
        <v>0</v>
      </c>
    </row>
    <row r="32" spans="1:44" s="70" customFormat="1" ht="15.75">
      <c r="A32" s="76" t="s">
        <v>51</v>
      </c>
      <c r="B32" s="13"/>
      <c r="C32" s="1">
        <v>50</v>
      </c>
      <c r="D32" s="108" t="s">
        <v>40</v>
      </c>
      <c r="E32" s="13"/>
      <c r="F32" s="13"/>
      <c r="G32" s="13"/>
      <c r="H32" s="13"/>
      <c r="I32" s="13"/>
      <c r="J32" s="69"/>
      <c r="AC32" s="62"/>
      <c r="AD32" s="63"/>
      <c r="AE32" s="64" t="s">
        <v>7</v>
      </c>
      <c r="AF32" s="65" t="s">
        <v>8</v>
      </c>
      <c r="AG32" s="66"/>
      <c r="AH32" s="66"/>
      <c r="AI32" s="62"/>
      <c r="AJ32" s="63"/>
      <c r="AK32" s="64"/>
      <c r="AL32" s="65"/>
      <c r="AM32" s="64"/>
      <c r="AN32" s="64"/>
      <c r="AP32" s="84" t="s">
        <v>44</v>
      </c>
      <c r="AR32" s="70">
        <f>IF($AP$40=3,50,0)</f>
        <v>50</v>
      </c>
    </row>
    <row r="33" spans="1:44" s="70" customFormat="1" ht="15.75">
      <c r="A33" s="76" t="s">
        <v>42</v>
      </c>
      <c r="B33" s="13"/>
      <c r="C33" s="90">
        <v>0.18</v>
      </c>
      <c r="D33" s="108" t="s">
        <v>40</v>
      </c>
      <c r="E33" s="13"/>
      <c r="F33" s="13"/>
      <c r="G33" s="13"/>
      <c r="H33" s="13"/>
      <c r="I33" s="13"/>
      <c r="J33" s="69"/>
      <c r="AC33" s="25" t="b">
        <f>AND($AC$1=3,$AC$7=1,$C$3&lt;=20,$C$3&gt;=1)</f>
        <v>0</v>
      </c>
      <c r="AD33" s="34" t="s">
        <v>89</v>
      </c>
      <c r="AE33" s="71">
        <v>218</v>
      </c>
      <c r="AF33" s="31">
        <v>144</v>
      </c>
      <c r="AG33" s="107">
        <f t="shared" ref="AG33:AG35" si="9">IF(AC33=TRUE,AE33,0)</f>
        <v>0</v>
      </c>
      <c r="AH33" s="107">
        <f t="shared" ref="AH33:AH35" si="10">IF(AC33=TRUE,AF33,0)</f>
        <v>0</v>
      </c>
      <c r="AI33" s="25"/>
      <c r="AJ33" s="34"/>
      <c r="AK33" s="71"/>
      <c r="AL33" s="72"/>
      <c r="AM33" s="7">
        <f>IF(AI33=TRUE,AK33,0)</f>
        <v>0</v>
      </c>
      <c r="AN33" s="7">
        <f>IF(AI33=TRUE,AL33,0)</f>
        <v>0</v>
      </c>
      <c r="AP33" s="84" t="s">
        <v>84</v>
      </c>
      <c r="AR33" s="70">
        <f>IF($AP$40=4,60,0)</f>
        <v>0</v>
      </c>
    </row>
    <row r="34" spans="1:44" s="70" customFormat="1" ht="16.5" thickBot="1">
      <c r="A34" s="85" t="s">
        <v>83</v>
      </c>
      <c r="B34" s="86"/>
      <c r="C34" s="91">
        <v>1</v>
      </c>
      <c r="D34" s="87" t="s">
        <v>82</v>
      </c>
      <c r="E34" s="86"/>
      <c r="F34" s="86"/>
      <c r="G34" s="86"/>
      <c r="H34" s="86"/>
      <c r="I34" s="86"/>
      <c r="J34" s="88"/>
      <c r="AC34" s="25" t="b">
        <f>AND($AC$1=3,$AC$7=1,$C$3&lt;=200,$C$3&gt;20)</f>
        <v>0</v>
      </c>
      <c r="AD34" s="34" t="s">
        <v>14</v>
      </c>
      <c r="AE34" s="71">
        <v>208</v>
      </c>
      <c r="AF34" s="31">
        <v>134</v>
      </c>
      <c r="AG34" s="107">
        <f t="shared" si="9"/>
        <v>0</v>
      </c>
      <c r="AH34" s="107">
        <f t="shared" si="10"/>
        <v>0</v>
      </c>
      <c r="AI34" s="25"/>
      <c r="AJ34" s="34"/>
      <c r="AK34" s="71"/>
      <c r="AL34" s="72"/>
      <c r="AM34" s="7">
        <f t="shared" ref="AM34:AM38" si="11">IF(AI34=TRUE,AK34,0)</f>
        <v>0</v>
      </c>
      <c r="AN34" s="7">
        <f t="shared" ref="AN34:AN38" si="12">IF(AI34=TRUE,AL34,0)</f>
        <v>0</v>
      </c>
      <c r="AP34" s="84" t="s">
        <v>85</v>
      </c>
      <c r="AR34" s="70">
        <f>IF($AP$40=5,70,0)</f>
        <v>0</v>
      </c>
    </row>
    <row r="35" spans="1:44" ht="15.75">
      <c r="AC35" s="25" t="b">
        <f>AND($AC$1=3,$AC$7=1,$C$3&gt;200)</f>
        <v>0</v>
      </c>
      <c r="AD35" s="34" t="s">
        <v>90</v>
      </c>
      <c r="AE35" s="71">
        <v>195</v>
      </c>
      <c r="AF35" s="31">
        <v>121</v>
      </c>
      <c r="AG35" s="107">
        <f t="shared" si="9"/>
        <v>0</v>
      </c>
      <c r="AH35" s="107">
        <f t="shared" si="10"/>
        <v>0</v>
      </c>
      <c r="AI35" s="25"/>
      <c r="AJ35" s="34"/>
      <c r="AK35" s="71"/>
      <c r="AL35" s="72"/>
      <c r="AM35" s="7">
        <f t="shared" si="11"/>
        <v>0</v>
      </c>
      <c r="AN35" s="7">
        <f t="shared" si="12"/>
        <v>0</v>
      </c>
      <c r="AP35" s="84" t="s">
        <v>47</v>
      </c>
      <c r="AR35" s="70">
        <f>IF($AP$40=6,50,0)</f>
        <v>0</v>
      </c>
    </row>
    <row r="36" spans="1:44" ht="15.75">
      <c r="AC36" s="25"/>
      <c r="AD36" s="34"/>
      <c r="AE36" s="64"/>
      <c r="AF36" s="65"/>
      <c r="AG36" s="107"/>
      <c r="AH36" s="107"/>
      <c r="AI36" s="25"/>
      <c r="AJ36" s="34"/>
      <c r="AK36" s="64"/>
      <c r="AL36" s="65"/>
      <c r="AM36" s="7">
        <f t="shared" si="11"/>
        <v>0</v>
      </c>
      <c r="AN36" s="7">
        <f t="shared" si="12"/>
        <v>0</v>
      </c>
      <c r="AP36" s="84" t="s">
        <v>49</v>
      </c>
      <c r="AR36" s="70">
        <f>IF($AP$40=7,60,0)</f>
        <v>0</v>
      </c>
    </row>
    <row r="37" spans="1:44" ht="15.75">
      <c r="A37" s="89"/>
      <c r="B37" s="89"/>
      <c r="C37" s="89"/>
      <c r="D37" s="89"/>
      <c r="E37" s="94" t="s">
        <v>59</v>
      </c>
      <c r="F37" s="94" t="s">
        <v>63</v>
      </c>
      <c r="G37" s="94" t="s">
        <v>64</v>
      </c>
      <c r="H37" s="94" t="s">
        <v>65</v>
      </c>
      <c r="I37" s="94" t="s">
        <v>66</v>
      </c>
      <c r="J37" s="94" t="s">
        <v>67</v>
      </c>
      <c r="K37" s="94" t="s">
        <v>68</v>
      </c>
      <c r="L37" s="94" t="s">
        <v>69</v>
      </c>
      <c r="M37" s="94" t="s">
        <v>70</v>
      </c>
      <c r="N37" s="94" t="s">
        <v>71</v>
      </c>
      <c r="O37" s="94" t="s">
        <v>72</v>
      </c>
      <c r="P37" s="94" t="s">
        <v>73</v>
      </c>
      <c r="Q37" s="94" t="s">
        <v>74</v>
      </c>
      <c r="R37" s="94" t="s">
        <v>75</v>
      </c>
      <c r="S37" s="94" t="s">
        <v>76</v>
      </c>
      <c r="T37" s="94" t="s">
        <v>77</v>
      </c>
      <c r="U37" s="94" t="s">
        <v>78</v>
      </c>
      <c r="V37" s="94" t="s">
        <v>79</v>
      </c>
      <c r="W37" s="94" t="s">
        <v>80</v>
      </c>
      <c r="X37" s="94" t="s">
        <v>81</v>
      </c>
      <c r="AC37" s="25"/>
      <c r="AD37" s="34"/>
      <c r="AE37" s="71"/>
      <c r="AF37" s="72"/>
      <c r="AG37" s="107"/>
      <c r="AH37" s="107"/>
      <c r="AI37" s="25"/>
      <c r="AJ37" s="34"/>
      <c r="AK37" s="71"/>
      <c r="AL37" s="72"/>
      <c r="AM37" s="7">
        <f t="shared" si="11"/>
        <v>0</v>
      </c>
      <c r="AN37" s="7">
        <f t="shared" si="12"/>
        <v>0</v>
      </c>
      <c r="AP37" s="84" t="s">
        <v>48</v>
      </c>
      <c r="AR37" s="70">
        <f>IF($AP$40=8,70,0)</f>
        <v>0</v>
      </c>
    </row>
    <row r="38" spans="1:44" ht="16.5" thickBot="1">
      <c r="A38" s="89"/>
      <c r="B38" s="89"/>
      <c r="C38" s="89"/>
      <c r="D38" s="89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AC38" s="35"/>
      <c r="AD38" s="44"/>
      <c r="AE38" s="80"/>
      <c r="AF38" s="81"/>
      <c r="AG38" s="107"/>
      <c r="AH38" s="107"/>
      <c r="AI38" s="35"/>
      <c r="AJ38" s="44"/>
      <c r="AK38" s="80"/>
      <c r="AL38" s="81"/>
      <c r="AM38" s="7">
        <f t="shared" si="11"/>
        <v>0</v>
      </c>
      <c r="AN38" s="7">
        <f t="shared" si="12"/>
        <v>0</v>
      </c>
      <c r="AP38" s="84" t="s">
        <v>86</v>
      </c>
      <c r="AR38" s="70">
        <f>IF($AP$40=9,80,0)</f>
        <v>0</v>
      </c>
    </row>
    <row r="39" spans="1:44" ht="16.5" thickBot="1">
      <c r="A39" s="93" t="s">
        <v>87</v>
      </c>
      <c r="B39" s="89"/>
      <c r="C39" s="89"/>
      <c r="D39" s="89"/>
      <c r="E39" s="96">
        <f>C23</f>
        <v>11500</v>
      </c>
      <c r="F39" s="96">
        <f>E39*0.99</f>
        <v>11385</v>
      </c>
      <c r="G39" s="96">
        <f t="shared" ref="G39:X39" si="13">F39*0.99</f>
        <v>11271.15</v>
      </c>
      <c r="H39" s="96">
        <f t="shared" si="13"/>
        <v>11158.4385</v>
      </c>
      <c r="I39" s="96">
        <f t="shared" si="13"/>
        <v>11046.854115</v>
      </c>
      <c r="J39" s="96">
        <f t="shared" si="13"/>
        <v>10936.385573850001</v>
      </c>
      <c r="K39" s="96">
        <f t="shared" si="13"/>
        <v>10827.0217181115</v>
      </c>
      <c r="L39" s="96">
        <f t="shared" si="13"/>
        <v>10718.751500930386</v>
      </c>
      <c r="M39" s="96">
        <f t="shared" si="13"/>
        <v>10611.563985921082</v>
      </c>
      <c r="N39" s="96">
        <f t="shared" si="13"/>
        <v>10505.448346061872</v>
      </c>
      <c r="O39" s="96">
        <f t="shared" si="13"/>
        <v>10400.393862601253</v>
      </c>
      <c r="P39" s="96">
        <f t="shared" si="13"/>
        <v>10296.389923975241</v>
      </c>
      <c r="Q39" s="96">
        <f t="shared" si="13"/>
        <v>10193.426024735489</v>
      </c>
      <c r="R39" s="96">
        <f t="shared" si="13"/>
        <v>10091.491764488133</v>
      </c>
      <c r="S39" s="96">
        <f t="shared" si="13"/>
        <v>9990.5768468432525</v>
      </c>
      <c r="T39" s="96">
        <f t="shared" si="13"/>
        <v>9890.6710783748204</v>
      </c>
      <c r="U39" s="96">
        <f t="shared" si="13"/>
        <v>9791.7643675910713</v>
      </c>
      <c r="V39" s="96">
        <f t="shared" si="13"/>
        <v>9693.8467239151596</v>
      </c>
      <c r="W39" s="96">
        <f t="shared" si="13"/>
        <v>9596.908256676008</v>
      </c>
      <c r="X39" s="96">
        <f t="shared" si="13"/>
        <v>9500.9391741092477</v>
      </c>
      <c r="AC39" s="70"/>
      <c r="AD39" s="70"/>
      <c r="AE39" s="73"/>
      <c r="AF39" s="73"/>
      <c r="AG39" s="82">
        <f>SUM(AG33:AG38)</f>
        <v>0</v>
      </c>
      <c r="AH39" s="83">
        <f>SUM(AH33:AH38)</f>
        <v>0</v>
      </c>
      <c r="AI39" s="70"/>
      <c r="AJ39" s="70"/>
      <c r="AK39" s="73"/>
      <c r="AL39" s="73"/>
      <c r="AM39" s="82">
        <f>SUM(AM33:AM38)</f>
        <v>0</v>
      </c>
      <c r="AN39" s="82">
        <f>SUM(AN33:AN38)</f>
        <v>0</v>
      </c>
      <c r="AP39" s="84"/>
      <c r="AR39" s="70"/>
    </row>
    <row r="40" spans="1:44" ht="15.75">
      <c r="A40" s="93" t="s">
        <v>36</v>
      </c>
      <c r="B40" s="89"/>
      <c r="C40" s="89"/>
      <c r="D40" s="89"/>
      <c r="E40" s="96">
        <f>$C$26</f>
        <v>1250</v>
      </c>
      <c r="F40" s="96">
        <f t="shared" ref="F40:X40" si="14">$C$26</f>
        <v>1250</v>
      </c>
      <c r="G40" s="96">
        <f t="shared" si="14"/>
        <v>1250</v>
      </c>
      <c r="H40" s="96">
        <f t="shared" si="14"/>
        <v>1250</v>
      </c>
      <c r="I40" s="96">
        <f t="shared" si="14"/>
        <v>1250</v>
      </c>
      <c r="J40" s="96">
        <f t="shared" si="14"/>
        <v>1250</v>
      </c>
      <c r="K40" s="96">
        <f t="shared" si="14"/>
        <v>1250</v>
      </c>
      <c r="L40" s="96">
        <f t="shared" si="14"/>
        <v>1250</v>
      </c>
      <c r="M40" s="96">
        <f t="shared" si="14"/>
        <v>1250</v>
      </c>
      <c r="N40" s="96">
        <f t="shared" si="14"/>
        <v>1250</v>
      </c>
      <c r="O40" s="96">
        <f t="shared" si="14"/>
        <v>1250</v>
      </c>
      <c r="P40" s="96">
        <f t="shared" si="14"/>
        <v>1250</v>
      </c>
      <c r="Q40" s="96">
        <f t="shared" si="14"/>
        <v>1250</v>
      </c>
      <c r="R40" s="96">
        <f t="shared" si="14"/>
        <v>1250</v>
      </c>
      <c r="S40" s="96">
        <f t="shared" si="14"/>
        <v>1250</v>
      </c>
      <c r="T40" s="96">
        <f t="shared" si="14"/>
        <v>1250</v>
      </c>
      <c r="U40" s="96">
        <f t="shared" si="14"/>
        <v>1250</v>
      </c>
      <c r="V40" s="96">
        <f t="shared" si="14"/>
        <v>1250</v>
      </c>
      <c r="W40" s="96">
        <f t="shared" si="14"/>
        <v>1250</v>
      </c>
      <c r="X40" s="96">
        <f t="shared" si="14"/>
        <v>1250</v>
      </c>
      <c r="AC40" s="4"/>
      <c r="AD40" s="4"/>
      <c r="AE40" s="7"/>
      <c r="AF40" s="7"/>
      <c r="AG40" s="7"/>
      <c r="AH40" s="7"/>
      <c r="AI40" s="4"/>
      <c r="AJ40" s="4"/>
      <c r="AK40" s="7"/>
      <c r="AL40" s="7"/>
      <c r="AM40" s="7"/>
      <c r="AN40" s="7"/>
      <c r="AP40" s="107">
        <v>3</v>
      </c>
      <c r="AR40" s="8">
        <f>SUM(AR30:AR39)</f>
        <v>50</v>
      </c>
    </row>
    <row r="41" spans="1:44" ht="15.75">
      <c r="A41" s="93" t="s">
        <v>52</v>
      </c>
      <c r="B41" s="89"/>
      <c r="C41" s="89"/>
      <c r="D41" s="89"/>
      <c r="E41" s="96">
        <f>E39-E40</f>
        <v>10250</v>
      </c>
      <c r="F41" s="96">
        <f t="shared" ref="F41:X41" si="15">F39-F40</f>
        <v>10135</v>
      </c>
      <c r="G41" s="96">
        <f t="shared" si="15"/>
        <v>10021.15</v>
      </c>
      <c r="H41" s="96">
        <f t="shared" si="15"/>
        <v>9908.4385000000002</v>
      </c>
      <c r="I41" s="96">
        <f t="shared" si="15"/>
        <v>9796.8541150000001</v>
      </c>
      <c r="J41" s="96">
        <f t="shared" si="15"/>
        <v>9686.3855738500006</v>
      </c>
      <c r="K41" s="96">
        <f t="shared" si="15"/>
        <v>9577.0217181115004</v>
      </c>
      <c r="L41" s="96">
        <f t="shared" si="15"/>
        <v>9468.7515009303861</v>
      </c>
      <c r="M41" s="96">
        <f t="shared" si="15"/>
        <v>9361.5639859210823</v>
      </c>
      <c r="N41" s="96">
        <f t="shared" si="15"/>
        <v>9255.4483460618721</v>
      </c>
      <c r="O41" s="96">
        <f t="shared" si="15"/>
        <v>9150.3938626012532</v>
      </c>
      <c r="P41" s="96">
        <f t="shared" si="15"/>
        <v>9046.3899239752409</v>
      </c>
      <c r="Q41" s="96">
        <f t="shared" si="15"/>
        <v>8943.4260247354887</v>
      </c>
      <c r="R41" s="96">
        <f t="shared" si="15"/>
        <v>8841.4917644881334</v>
      </c>
      <c r="S41" s="96">
        <f t="shared" si="15"/>
        <v>8740.5768468432525</v>
      </c>
      <c r="T41" s="96">
        <f t="shared" si="15"/>
        <v>8640.6710783748204</v>
      </c>
      <c r="U41" s="96">
        <f t="shared" si="15"/>
        <v>8541.7643675910713</v>
      </c>
      <c r="V41" s="96">
        <f t="shared" si="15"/>
        <v>8443.8467239151596</v>
      </c>
      <c r="W41" s="96">
        <f t="shared" si="15"/>
        <v>8346.908256676008</v>
      </c>
      <c r="X41" s="96">
        <f t="shared" si="15"/>
        <v>8250.9391741092477</v>
      </c>
    </row>
    <row r="42" spans="1:44" ht="15.75">
      <c r="A42" s="93"/>
      <c r="B42" s="89"/>
      <c r="C42" s="89"/>
      <c r="D42" s="89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44" ht="15.75">
      <c r="A43" s="93" t="s">
        <v>53</v>
      </c>
      <c r="B43" s="89"/>
      <c r="C43" s="89"/>
      <c r="D43" s="89"/>
      <c r="E43" s="97">
        <f>$D$18*E41/1000</f>
        <v>3157</v>
      </c>
      <c r="F43" s="97">
        <f t="shared" ref="F43:X43" si="16">$D$18*F41/1000</f>
        <v>3121.58</v>
      </c>
      <c r="G43" s="97">
        <f t="shared" si="16"/>
        <v>3086.5141999999996</v>
      </c>
      <c r="H43" s="97">
        <f t="shared" si="16"/>
        <v>3051.7990580000001</v>
      </c>
      <c r="I43" s="97">
        <f t="shared" si="16"/>
        <v>3017.4310674200001</v>
      </c>
      <c r="J43" s="97">
        <f t="shared" si="16"/>
        <v>2983.4067567458005</v>
      </c>
      <c r="K43" s="97">
        <f t="shared" si="16"/>
        <v>2949.7226891783421</v>
      </c>
      <c r="L43" s="97">
        <f t="shared" si="16"/>
        <v>2916.375462286559</v>
      </c>
      <c r="M43" s="97">
        <f t="shared" si="16"/>
        <v>2883.3617076636933</v>
      </c>
      <c r="N43" s="97">
        <f t="shared" si="16"/>
        <v>2850.6780905870569</v>
      </c>
      <c r="O43" s="97">
        <f t="shared" si="16"/>
        <v>2818.321309681186</v>
      </c>
      <c r="P43" s="97">
        <f t="shared" si="16"/>
        <v>2786.2880965843742</v>
      </c>
      <c r="Q43" s="97">
        <f t="shared" si="16"/>
        <v>2754.5752156185304</v>
      </c>
      <c r="R43" s="97">
        <f t="shared" si="16"/>
        <v>2723.1794634623452</v>
      </c>
      <c r="S43" s="97">
        <f t="shared" si="16"/>
        <v>2692.0976688277219</v>
      </c>
      <c r="T43" s="97">
        <f t="shared" si="16"/>
        <v>2661.3266921394447</v>
      </c>
      <c r="U43" s="97">
        <f t="shared" si="16"/>
        <v>2630.86342521805</v>
      </c>
      <c r="V43" s="97">
        <f t="shared" si="16"/>
        <v>2600.7047909658691</v>
      </c>
      <c r="W43" s="97">
        <f t="shared" si="16"/>
        <v>2570.8477430562107</v>
      </c>
      <c r="X43" s="97">
        <f t="shared" si="16"/>
        <v>2541.2892656256481</v>
      </c>
    </row>
    <row r="44" spans="1:44" ht="15.75">
      <c r="A44" s="93" t="s">
        <v>54</v>
      </c>
      <c r="B44" s="89"/>
      <c r="C44" s="89"/>
      <c r="D44" s="89"/>
      <c r="E44" s="97">
        <f>$D$19*E40/1000</f>
        <v>257.5</v>
      </c>
      <c r="F44" s="97">
        <f t="shared" ref="F44:X44" si="17">$D$19*F40/1000</f>
        <v>257.5</v>
      </c>
      <c r="G44" s="97">
        <f t="shared" si="17"/>
        <v>257.5</v>
      </c>
      <c r="H44" s="97">
        <f t="shared" si="17"/>
        <v>257.5</v>
      </c>
      <c r="I44" s="97">
        <f t="shared" si="17"/>
        <v>257.5</v>
      </c>
      <c r="J44" s="97">
        <f t="shared" si="17"/>
        <v>257.5</v>
      </c>
      <c r="K44" s="97">
        <f t="shared" si="17"/>
        <v>257.5</v>
      </c>
      <c r="L44" s="97">
        <f t="shared" si="17"/>
        <v>257.5</v>
      </c>
      <c r="M44" s="97">
        <f t="shared" si="17"/>
        <v>257.5</v>
      </c>
      <c r="N44" s="97">
        <f t="shared" si="17"/>
        <v>257.5</v>
      </c>
      <c r="O44" s="97">
        <f t="shared" si="17"/>
        <v>257.5</v>
      </c>
      <c r="P44" s="97">
        <f t="shared" si="17"/>
        <v>257.5</v>
      </c>
      <c r="Q44" s="97">
        <f t="shared" si="17"/>
        <v>257.5</v>
      </c>
      <c r="R44" s="97">
        <f t="shared" si="17"/>
        <v>257.5</v>
      </c>
      <c r="S44" s="97">
        <f t="shared" si="17"/>
        <v>257.5</v>
      </c>
      <c r="T44" s="97">
        <f t="shared" si="17"/>
        <v>257.5</v>
      </c>
      <c r="U44" s="97">
        <f t="shared" si="17"/>
        <v>257.5</v>
      </c>
      <c r="V44" s="97">
        <f t="shared" si="17"/>
        <v>257.5</v>
      </c>
      <c r="W44" s="97">
        <f t="shared" si="17"/>
        <v>257.5</v>
      </c>
      <c r="X44" s="97">
        <f t="shared" si="17"/>
        <v>257.5</v>
      </c>
      <c r="AC44" s="62"/>
      <c r="AD44" s="63"/>
      <c r="AE44" s="64" t="s">
        <v>7</v>
      </c>
      <c r="AF44" s="65" t="s">
        <v>8</v>
      </c>
      <c r="AG44" s="66"/>
      <c r="AH44" s="66"/>
      <c r="AI44" s="62"/>
      <c r="AJ44" s="63"/>
      <c r="AK44" s="64"/>
      <c r="AL44" s="65"/>
      <c r="AM44" s="64"/>
      <c r="AN44" s="64"/>
      <c r="AO44" s="107"/>
    </row>
    <row r="45" spans="1:44" ht="15.75">
      <c r="A45" s="93" t="s">
        <v>55</v>
      </c>
      <c r="B45" s="89"/>
      <c r="C45" s="89"/>
      <c r="D45" s="89"/>
      <c r="E45" s="97">
        <f>C33*C26</f>
        <v>225</v>
      </c>
      <c r="F45" s="97">
        <f>E45+(E45/100*$C$34)</f>
        <v>227.25</v>
      </c>
      <c r="G45" s="97">
        <f>F45+(F45/100*$C$34)</f>
        <v>229.52250000000001</v>
      </c>
      <c r="H45" s="97">
        <f>G45+(G45/100*$C$34)</f>
        <v>231.817725</v>
      </c>
      <c r="I45" s="97">
        <f>H45+(H45/100*$C$34)</f>
        <v>234.13590224999999</v>
      </c>
      <c r="J45" s="97">
        <f t="shared" ref="J45:X45" si="18">I45+(I45/100*$C$34)</f>
        <v>236.47726127249999</v>
      </c>
      <c r="K45" s="97">
        <f t="shared" si="18"/>
        <v>238.84203388522499</v>
      </c>
      <c r="L45" s="97">
        <f t="shared" si="18"/>
        <v>241.23045422407725</v>
      </c>
      <c r="M45" s="97">
        <f t="shared" si="18"/>
        <v>243.64275876631802</v>
      </c>
      <c r="N45" s="97">
        <f t="shared" si="18"/>
        <v>246.07918635398121</v>
      </c>
      <c r="O45" s="97">
        <f t="shared" si="18"/>
        <v>248.53997821752102</v>
      </c>
      <c r="P45" s="97">
        <f t="shared" si="18"/>
        <v>251.02537799969625</v>
      </c>
      <c r="Q45" s="97">
        <f t="shared" si="18"/>
        <v>253.5356317796932</v>
      </c>
      <c r="R45" s="97">
        <f t="shared" si="18"/>
        <v>256.07098809749016</v>
      </c>
      <c r="S45" s="97">
        <f t="shared" si="18"/>
        <v>258.63169797846507</v>
      </c>
      <c r="T45" s="97">
        <f t="shared" si="18"/>
        <v>261.21801495824974</v>
      </c>
      <c r="U45" s="97">
        <f t="shared" si="18"/>
        <v>263.83019510783225</v>
      </c>
      <c r="V45" s="97">
        <f t="shared" si="18"/>
        <v>266.4684970589106</v>
      </c>
      <c r="W45" s="97">
        <f t="shared" si="18"/>
        <v>269.13318202949972</v>
      </c>
      <c r="X45" s="97">
        <f t="shared" si="18"/>
        <v>271.8245138497947</v>
      </c>
      <c r="AC45" s="25" t="b">
        <f>AND($AC$1=4,$AC$7=1,$C$3&lt;=20,$C$3&gt;=1)</f>
        <v>0</v>
      </c>
      <c r="AD45" s="34" t="s">
        <v>89</v>
      </c>
      <c r="AE45" s="71">
        <v>196</v>
      </c>
      <c r="AF45" s="31">
        <v>130</v>
      </c>
      <c r="AG45" s="107">
        <f t="shared" ref="AG45:AG47" si="19">IF(AC45=TRUE,AE45,0)</f>
        <v>0</v>
      </c>
      <c r="AH45" s="107">
        <f t="shared" ref="AH45:AH47" si="20">IF(AC45=TRUE,AF45,0)</f>
        <v>0</v>
      </c>
      <c r="AI45" s="25"/>
      <c r="AJ45" s="34"/>
      <c r="AK45" s="71"/>
      <c r="AL45" s="72"/>
      <c r="AM45" s="7">
        <f>IF(AI45=TRUE,AK45,0)</f>
        <v>0</v>
      </c>
      <c r="AN45" s="7">
        <f>IF(AI45=TRUE,AL45,0)</f>
        <v>0</v>
      </c>
      <c r="AO45" s="107"/>
    </row>
    <row r="46" spans="1:44" ht="15.75">
      <c r="A46" s="93" t="s">
        <v>56</v>
      </c>
      <c r="B46" s="89"/>
      <c r="C46" s="89"/>
      <c r="D46" s="89"/>
      <c r="E46" s="98">
        <f>SUM(E43:E45)</f>
        <v>3639.5</v>
      </c>
      <c r="F46" s="98">
        <f t="shared" ref="F46:X46" si="21">SUM(F43:F45)</f>
        <v>3606.33</v>
      </c>
      <c r="G46" s="98">
        <f t="shared" si="21"/>
        <v>3573.5366999999997</v>
      </c>
      <c r="H46" s="98">
        <f t="shared" si="21"/>
        <v>3541.1167829999999</v>
      </c>
      <c r="I46" s="98">
        <f t="shared" si="21"/>
        <v>3509.0669696700002</v>
      </c>
      <c r="J46" s="98">
        <f t="shared" si="21"/>
        <v>3477.3840180183006</v>
      </c>
      <c r="K46" s="98">
        <f t="shared" si="21"/>
        <v>3446.0647230635673</v>
      </c>
      <c r="L46" s="98">
        <f t="shared" si="21"/>
        <v>3415.1059165106362</v>
      </c>
      <c r="M46" s="98">
        <f t="shared" si="21"/>
        <v>3384.5044664300112</v>
      </c>
      <c r="N46" s="98">
        <f t="shared" si="21"/>
        <v>3354.2572769410381</v>
      </c>
      <c r="O46" s="98">
        <f t="shared" si="21"/>
        <v>3324.3612878987069</v>
      </c>
      <c r="P46" s="98">
        <f t="shared" si="21"/>
        <v>3294.8134745840703</v>
      </c>
      <c r="Q46" s="98">
        <f t="shared" si="21"/>
        <v>3265.6108473982235</v>
      </c>
      <c r="R46" s="98">
        <f t="shared" si="21"/>
        <v>3236.7504515598353</v>
      </c>
      <c r="S46" s="98">
        <f t="shared" si="21"/>
        <v>3208.229366806187</v>
      </c>
      <c r="T46" s="98">
        <f t="shared" si="21"/>
        <v>3180.0447070976943</v>
      </c>
      <c r="U46" s="98">
        <f t="shared" si="21"/>
        <v>3152.1936203258824</v>
      </c>
      <c r="V46" s="98">
        <f t="shared" si="21"/>
        <v>3124.6732880247796</v>
      </c>
      <c r="W46" s="98">
        <f t="shared" si="21"/>
        <v>3097.4809250857106</v>
      </c>
      <c r="X46" s="98">
        <f t="shared" si="21"/>
        <v>3070.6137794754427</v>
      </c>
      <c r="AC46" s="25" t="b">
        <f>AND($AC$1=4,$AC$7=1,$C$3&lt;=200,$C$3&gt;20)</f>
        <v>0</v>
      </c>
      <c r="AD46" s="34" t="s">
        <v>14</v>
      </c>
      <c r="AE46" s="71">
        <v>187</v>
      </c>
      <c r="AF46" s="31">
        <v>121</v>
      </c>
      <c r="AG46" s="107">
        <f t="shared" si="19"/>
        <v>0</v>
      </c>
      <c r="AH46" s="107">
        <f t="shared" si="20"/>
        <v>0</v>
      </c>
      <c r="AI46" s="25"/>
      <c r="AJ46" s="34"/>
      <c r="AK46" s="71"/>
      <c r="AL46" s="72"/>
      <c r="AM46" s="7">
        <f t="shared" ref="AM46:AM50" si="22">IF(AI46=TRUE,AK46,0)</f>
        <v>0</v>
      </c>
      <c r="AN46" s="7">
        <f t="shared" ref="AN46:AN50" si="23">IF(AI46=TRUE,AL46,0)</f>
        <v>0</v>
      </c>
    </row>
    <row r="47" spans="1:44" ht="15.75">
      <c r="A47" s="93"/>
      <c r="B47" s="89"/>
      <c r="C47" s="89"/>
      <c r="D47" s="8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AC47" s="25" t="b">
        <f>AND($AC$1=4,$AC$7=1,$C$3&gt;200)</f>
        <v>0</v>
      </c>
      <c r="AD47" s="34" t="s">
        <v>90</v>
      </c>
      <c r="AE47" s="71">
        <v>176</v>
      </c>
      <c r="AF47" s="31">
        <v>109</v>
      </c>
      <c r="AG47" s="107">
        <f t="shared" si="19"/>
        <v>0</v>
      </c>
      <c r="AH47" s="107">
        <f t="shared" si="20"/>
        <v>0</v>
      </c>
      <c r="AI47" s="25"/>
      <c r="AJ47" s="34"/>
      <c r="AK47" s="71"/>
      <c r="AL47" s="72"/>
      <c r="AM47" s="7">
        <f t="shared" si="22"/>
        <v>0</v>
      </c>
      <c r="AN47" s="7">
        <f t="shared" si="23"/>
        <v>0</v>
      </c>
    </row>
    <row r="48" spans="1:44" ht="15.75">
      <c r="A48" s="93" t="s">
        <v>61</v>
      </c>
      <c r="B48" s="89"/>
      <c r="C48" s="89"/>
      <c r="D48" s="89"/>
      <c r="E48" s="97">
        <f>$C$31</f>
        <v>150</v>
      </c>
      <c r="F48" s="97">
        <f t="shared" ref="F48:X48" si="24">$C$31</f>
        <v>150</v>
      </c>
      <c r="G48" s="97">
        <f t="shared" si="24"/>
        <v>150</v>
      </c>
      <c r="H48" s="97">
        <f t="shared" si="24"/>
        <v>150</v>
      </c>
      <c r="I48" s="97">
        <f t="shared" si="24"/>
        <v>150</v>
      </c>
      <c r="J48" s="97">
        <f t="shared" si="24"/>
        <v>150</v>
      </c>
      <c r="K48" s="97">
        <f t="shared" si="24"/>
        <v>150</v>
      </c>
      <c r="L48" s="97">
        <f t="shared" si="24"/>
        <v>150</v>
      </c>
      <c r="M48" s="97">
        <f t="shared" si="24"/>
        <v>150</v>
      </c>
      <c r="N48" s="97">
        <f t="shared" si="24"/>
        <v>150</v>
      </c>
      <c r="O48" s="97">
        <f t="shared" si="24"/>
        <v>150</v>
      </c>
      <c r="P48" s="97">
        <f t="shared" si="24"/>
        <v>150</v>
      </c>
      <c r="Q48" s="97">
        <f t="shared" si="24"/>
        <v>150</v>
      </c>
      <c r="R48" s="97">
        <f t="shared" si="24"/>
        <v>150</v>
      </c>
      <c r="S48" s="97">
        <f t="shared" si="24"/>
        <v>150</v>
      </c>
      <c r="T48" s="97">
        <f t="shared" si="24"/>
        <v>150</v>
      </c>
      <c r="U48" s="97">
        <f t="shared" si="24"/>
        <v>150</v>
      </c>
      <c r="V48" s="97">
        <f t="shared" si="24"/>
        <v>150</v>
      </c>
      <c r="W48" s="97">
        <f t="shared" si="24"/>
        <v>150</v>
      </c>
      <c r="X48" s="97">
        <f t="shared" si="24"/>
        <v>150</v>
      </c>
      <c r="AC48" s="25"/>
      <c r="AD48" s="34"/>
      <c r="AE48" s="64"/>
      <c r="AF48" s="65"/>
      <c r="AG48" s="107"/>
      <c r="AH48" s="107"/>
      <c r="AI48" s="25"/>
      <c r="AJ48" s="34"/>
      <c r="AK48" s="64"/>
      <c r="AL48" s="65"/>
      <c r="AM48" s="7">
        <f t="shared" si="22"/>
        <v>0</v>
      </c>
      <c r="AN48" s="7">
        <f t="shared" si="23"/>
        <v>0</v>
      </c>
    </row>
    <row r="49" spans="1:41" ht="15.75">
      <c r="A49" s="93" t="s">
        <v>60</v>
      </c>
      <c r="B49" s="89"/>
      <c r="C49" s="89"/>
      <c r="D49" s="89"/>
      <c r="E49" s="97">
        <f>$C$32</f>
        <v>50</v>
      </c>
      <c r="F49" s="97">
        <f t="shared" ref="F49:X49" si="25">$C$32</f>
        <v>50</v>
      </c>
      <c r="G49" s="97">
        <f t="shared" si="25"/>
        <v>50</v>
      </c>
      <c r="H49" s="97">
        <f t="shared" si="25"/>
        <v>50</v>
      </c>
      <c r="I49" s="97">
        <f t="shared" si="25"/>
        <v>50</v>
      </c>
      <c r="J49" s="97">
        <f t="shared" si="25"/>
        <v>50</v>
      </c>
      <c r="K49" s="97">
        <f t="shared" si="25"/>
        <v>50</v>
      </c>
      <c r="L49" s="97">
        <f t="shared" si="25"/>
        <v>50</v>
      </c>
      <c r="M49" s="97">
        <f t="shared" si="25"/>
        <v>50</v>
      </c>
      <c r="N49" s="97">
        <f t="shared" si="25"/>
        <v>50</v>
      </c>
      <c r="O49" s="97">
        <f t="shared" si="25"/>
        <v>50</v>
      </c>
      <c r="P49" s="97">
        <f t="shared" si="25"/>
        <v>50</v>
      </c>
      <c r="Q49" s="97">
        <f t="shared" si="25"/>
        <v>50</v>
      </c>
      <c r="R49" s="97">
        <f t="shared" si="25"/>
        <v>50</v>
      </c>
      <c r="S49" s="97">
        <f t="shared" si="25"/>
        <v>50</v>
      </c>
      <c r="T49" s="97">
        <f t="shared" si="25"/>
        <v>50</v>
      </c>
      <c r="U49" s="97">
        <f t="shared" si="25"/>
        <v>50</v>
      </c>
      <c r="V49" s="97">
        <f t="shared" si="25"/>
        <v>50</v>
      </c>
      <c r="W49" s="97">
        <f t="shared" si="25"/>
        <v>50</v>
      </c>
      <c r="X49" s="97">
        <f t="shared" si="25"/>
        <v>50</v>
      </c>
      <c r="AC49" s="25"/>
      <c r="AD49" s="34"/>
      <c r="AE49" s="71"/>
      <c r="AF49" s="72"/>
      <c r="AG49" s="107"/>
      <c r="AH49" s="107"/>
      <c r="AI49" s="25"/>
      <c r="AJ49" s="34"/>
      <c r="AK49" s="71"/>
      <c r="AL49" s="72"/>
      <c r="AM49" s="7">
        <f t="shared" si="22"/>
        <v>0</v>
      </c>
      <c r="AN49" s="7">
        <f t="shared" si="23"/>
        <v>0</v>
      </c>
    </row>
    <row r="50" spans="1:41" ht="16.5" thickBot="1">
      <c r="A50" s="93" t="s">
        <v>62</v>
      </c>
      <c r="B50" s="89"/>
      <c r="C50" s="89"/>
      <c r="D50" s="89"/>
      <c r="E50" s="98">
        <f>SUM(E48:E49)</f>
        <v>200</v>
      </c>
      <c r="F50" s="98">
        <f>SUM(F48:F49)</f>
        <v>200</v>
      </c>
      <c r="G50" s="98">
        <f t="shared" ref="G50:X50" si="26">SUM(G48:G49)</f>
        <v>200</v>
      </c>
      <c r="H50" s="98">
        <f t="shared" si="26"/>
        <v>200</v>
      </c>
      <c r="I50" s="98">
        <f t="shared" si="26"/>
        <v>200</v>
      </c>
      <c r="J50" s="98">
        <f t="shared" si="26"/>
        <v>200</v>
      </c>
      <c r="K50" s="98">
        <f t="shared" si="26"/>
        <v>200</v>
      </c>
      <c r="L50" s="98">
        <f t="shared" si="26"/>
        <v>200</v>
      </c>
      <c r="M50" s="98">
        <f t="shared" si="26"/>
        <v>200</v>
      </c>
      <c r="N50" s="98">
        <f t="shared" si="26"/>
        <v>200</v>
      </c>
      <c r="O50" s="98">
        <f t="shared" si="26"/>
        <v>200</v>
      </c>
      <c r="P50" s="98">
        <f t="shared" si="26"/>
        <v>200</v>
      </c>
      <c r="Q50" s="98">
        <f t="shared" si="26"/>
        <v>200</v>
      </c>
      <c r="R50" s="98">
        <f t="shared" si="26"/>
        <v>200</v>
      </c>
      <c r="S50" s="98">
        <f t="shared" si="26"/>
        <v>200</v>
      </c>
      <c r="T50" s="98">
        <f t="shared" si="26"/>
        <v>200</v>
      </c>
      <c r="U50" s="98">
        <f t="shared" si="26"/>
        <v>200</v>
      </c>
      <c r="V50" s="98">
        <f t="shared" si="26"/>
        <v>200</v>
      </c>
      <c r="W50" s="98">
        <f t="shared" si="26"/>
        <v>200</v>
      </c>
      <c r="X50" s="98">
        <f t="shared" si="26"/>
        <v>200</v>
      </c>
      <c r="AC50" s="35"/>
      <c r="AD50" s="44"/>
      <c r="AE50" s="80"/>
      <c r="AF50" s="81"/>
      <c r="AG50" s="107"/>
      <c r="AH50" s="107"/>
      <c r="AI50" s="35"/>
      <c r="AJ50" s="44"/>
      <c r="AK50" s="80"/>
      <c r="AL50" s="81"/>
      <c r="AM50" s="7">
        <f t="shared" si="22"/>
        <v>0</v>
      </c>
      <c r="AN50" s="7">
        <f t="shared" si="23"/>
        <v>0</v>
      </c>
    </row>
    <row r="51" spans="1:41" ht="16.5" thickBot="1">
      <c r="A51" s="70"/>
      <c r="B51" s="89"/>
      <c r="C51" s="89"/>
      <c r="D51" s="89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AC51" s="70"/>
      <c r="AD51" s="70"/>
      <c r="AE51" s="73"/>
      <c r="AF51" s="73"/>
      <c r="AG51" s="82">
        <f>SUM(AG45:AG50)</f>
        <v>0</v>
      </c>
      <c r="AH51" s="83">
        <f>SUM(AH45:AH50)</f>
        <v>0</v>
      </c>
      <c r="AI51" s="70"/>
      <c r="AJ51" s="70"/>
      <c r="AK51" s="73"/>
      <c r="AL51" s="73"/>
      <c r="AM51" s="82">
        <f>SUM(AM45:AM50)</f>
        <v>0</v>
      </c>
      <c r="AN51" s="82">
        <f>SUM(AN45:AN50)</f>
        <v>0</v>
      </c>
    </row>
    <row r="52" spans="1:41" ht="16.5" thickBot="1">
      <c r="A52" s="93" t="s">
        <v>57</v>
      </c>
      <c r="B52" s="89"/>
      <c r="C52" s="89"/>
      <c r="D52" s="89"/>
      <c r="E52" s="99">
        <v>1</v>
      </c>
      <c r="F52" s="99">
        <v>2</v>
      </c>
      <c r="G52" s="99">
        <v>3</v>
      </c>
      <c r="H52" s="99">
        <v>4</v>
      </c>
      <c r="I52" s="99">
        <v>5</v>
      </c>
      <c r="J52" s="99">
        <v>6</v>
      </c>
      <c r="K52" s="99">
        <v>7</v>
      </c>
      <c r="L52" s="99">
        <v>8</v>
      </c>
      <c r="M52" s="99">
        <v>9</v>
      </c>
      <c r="N52" s="99">
        <v>10</v>
      </c>
      <c r="O52" s="99">
        <v>11</v>
      </c>
      <c r="P52" s="99">
        <v>12</v>
      </c>
      <c r="Q52" s="99">
        <v>13</v>
      </c>
      <c r="R52" s="99">
        <v>14</v>
      </c>
      <c r="S52" s="99">
        <v>15</v>
      </c>
      <c r="T52" s="99">
        <v>16</v>
      </c>
      <c r="U52" s="99">
        <v>17</v>
      </c>
      <c r="V52" s="99">
        <v>18</v>
      </c>
      <c r="W52" s="99">
        <v>19</v>
      </c>
      <c r="X52" s="99">
        <v>20</v>
      </c>
      <c r="AC52" s="4"/>
      <c r="AD52" s="34"/>
      <c r="AE52" s="7"/>
      <c r="AF52" s="7"/>
      <c r="AG52" s="7"/>
      <c r="AH52" s="7"/>
      <c r="AI52" s="4"/>
      <c r="AJ52" s="34"/>
      <c r="AK52" s="7"/>
      <c r="AL52" s="7"/>
      <c r="AM52" s="7"/>
      <c r="AN52" s="7"/>
    </row>
    <row r="53" spans="1:41" ht="16.5" thickBot="1">
      <c r="A53" s="93" t="s">
        <v>58</v>
      </c>
      <c r="B53" s="89"/>
      <c r="C53" s="89"/>
      <c r="D53" s="89"/>
      <c r="E53" s="100">
        <f>-(C3*C30)-E50+E46</f>
        <v>-21560.5</v>
      </c>
      <c r="F53" s="100">
        <f t="shared" ref="F53:X53" si="27">E53+F46-F50</f>
        <v>-18154.169999999998</v>
      </c>
      <c r="G53" s="100">
        <f t="shared" si="27"/>
        <v>-14780.633299999998</v>
      </c>
      <c r="H53" s="100">
        <f t="shared" si="27"/>
        <v>-11439.516516999998</v>
      </c>
      <c r="I53" s="100">
        <f t="shared" si="27"/>
        <v>-8130.4495473299976</v>
      </c>
      <c r="J53" s="100">
        <f t="shared" si="27"/>
        <v>-4853.065529311697</v>
      </c>
      <c r="K53" s="100">
        <f t="shared" si="27"/>
        <v>-1607.0008062481297</v>
      </c>
      <c r="L53" s="100">
        <f t="shared" si="27"/>
        <v>1608.1051102625065</v>
      </c>
      <c r="M53" s="100">
        <f t="shared" si="27"/>
        <v>4792.6095766925173</v>
      </c>
      <c r="N53" s="100">
        <f t="shared" si="27"/>
        <v>7946.8668536335554</v>
      </c>
      <c r="O53" s="100">
        <f t="shared" si="27"/>
        <v>11071.228141532261</v>
      </c>
      <c r="P53" s="100">
        <f t="shared" si="27"/>
        <v>14166.041616116332</v>
      </c>
      <c r="Q53" s="100">
        <f t="shared" si="27"/>
        <v>17231.652463514554</v>
      </c>
      <c r="R53" s="100">
        <f t="shared" si="27"/>
        <v>20268.402915074388</v>
      </c>
      <c r="S53" s="100">
        <f t="shared" si="27"/>
        <v>23276.632281880575</v>
      </c>
      <c r="T53" s="100">
        <f t="shared" si="27"/>
        <v>26256.67698897827</v>
      </c>
      <c r="U53" s="100">
        <f t="shared" si="27"/>
        <v>29208.870609304151</v>
      </c>
      <c r="V53" s="100">
        <f t="shared" si="27"/>
        <v>32133.543897328931</v>
      </c>
      <c r="W53" s="100">
        <f t="shared" si="27"/>
        <v>35031.024822414642</v>
      </c>
      <c r="X53" s="100">
        <f t="shared" si="27"/>
        <v>37901.638601890081</v>
      </c>
      <c r="AC53" s="4"/>
      <c r="AD53" s="34"/>
      <c r="AE53" s="7"/>
      <c r="AF53" s="7"/>
      <c r="AG53" s="7"/>
      <c r="AH53" s="7"/>
      <c r="AI53" s="4"/>
      <c r="AJ53" s="34"/>
      <c r="AK53" s="7"/>
      <c r="AL53" s="7"/>
      <c r="AM53" s="7"/>
      <c r="AN53" s="7"/>
    </row>
    <row r="54" spans="1:41">
      <c r="AC54" s="4"/>
      <c r="AD54" s="4"/>
      <c r="AE54" s="7"/>
      <c r="AF54" s="7"/>
      <c r="AG54" s="7"/>
      <c r="AH54" s="7"/>
      <c r="AI54" s="4"/>
      <c r="AJ54" s="4"/>
      <c r="AK54" s="7"/>
      <c r="AL54" s="7"/>
      <c r="AM54" s="7"/>
      <c r="AN54" s="7"/>
    </row>
    <row r="55" spans="1:41"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8" spans="1:41" ht="15.75">
      <c r="AC58" s="62"/>
      <c r="AD58" s="63"/>
      <c r="AE58" s="64" t="s">
        <v>7</v>
      </c>
      <c r="AF58" s="65" t="s">
        <v>8</v>
      </c>
      <c r="AG58" s="66"/>
      <c r="AH58" s="66"/>
      <c r="AI58" s="62"/>
      <c r="AJ58" s="63"/>
      <c r="AK58" s="64"/>
      <c r="AL58" s="65"/>
      <c r="AM58" s="64"/>
      <c r="AN58" s="64"/>
      <c r="AO58" s="107"/>
    </row>
    <row r="59" spans="1:41" ht="15.75">
      <c r="AC59" s="25" t="b">
        <f>AND($AC$1=5,$AC$7=1,$C$3&lt;=20,$C$3&gt;=1)</f>
        <v>0</v>
      </c>
      <c r="AD59" s="34" t="s">
        <v>89</v>
      </c>
      <c r="AE59" s="71">
        <v>176</v>
      </c>
      <c r="AF59" s="31">
        <v>117</v>
      </c>
      <c r="AG59" s="73">
        <f t="shared" ref="AG59:AG61" si="28">IF(AC59=TRUE,AE59,0)</f>
        <v>0</v>
      </c>
      <c r="AH59" s="107">
        <f t="shared" ref="AH59:AH61" si="29">IF(AC59=TRUE,AF59,0)</f>
        <v>0</v>
      </c>
      <c r="AI59" s="25"/>
      <c r="AJ59" s="34"/>
      <c r="AK59" s="71"/>
      <c r="AL59" s="72"/>
      <c r="AM59" s="7">
        <f>IF(AI59=TRUE,AK59,0)</f>
        <v>0</v>
      </c>
      <c r="AN59" s="7">
        <f>IF(AI59=TRUE,AL59,0)</f>
        <v>0</v>
      </c>
      <c r="AO59" s="107"/>
    </row>
    <row r="60" spans="1:41" ht="15.75">
      <c r="AC60" s="25" t="b">
        <f>AND($AC$1=5,$AC$7=1,$C$3&lt;=200,$C$3&gt;20)</f>
        <v>0</v>
      </c>
      <c r="AD60" s="34" t="s">
        <v>14</v>
      </c>
      <c r="AE60" s="71">
        <v>169</v>
      </c>
      <c r="AF60" s="31">
        <v>109</v>
      </c>
      <c r="AG60" s="73">
        <f t="shared" si="28"/>
        <v>0</v>
      </c>
      <c r="AH60" s="107">
        <f t="shared" si="29"/>
        <v>0</v>
      </c>
      <c r="AI60" s="25"/>
      <c r="AJ60" s="34"/>
      <c r="AK60" s="71"/>
      <c r="AL60" s="72"/>
      <c r="AM60" s="7">
        <f t="shared" ref="AM60:AM64" si="30">IF(AI60=TRUE,AK60,0)</f>
        <v>0</v>
      </c>
      <c r="AN60" s="7">
        <f t="shared" ref="AN60:AN64" si="31">IF(AI60=TRUE,AL60,0)</f>
        <v>0</v>
      </c>
    </row>
    <row r="61" spans="1:41" ht="15.75">
      <c r="AC61" s="25" t="b">
        <f>AND($AC$1=5,$AC$7=1,$C$3&gt;200)</f>
        <v>0</v>
      </c>
      <c r="AD61" s="34" t="s">
        <v>90</v>
      </c>
      <c r="AE61" s="71">
        <v>158</v>
      </c>
      <c r="AF61" s="31">
        <v>98</v>
      </c>
      <c r="AG61" s="73">
        <f t="shared" si="28"/>
        <v>0</v>
      </c>
      <c r="AH61" s="107">
        <f t="shared" si="29"/>
        <v>0</v>
      </c>
      <c r="AI61" s="25"/>
      <c r="AJ61" s="34"/>
      <c r="AK61" s="71"/>
      <c r="AL61" s="72"/>
      <c r="AM61" s="7">
        <f t="shared" si="30"/>
        <v>0</v>
      </c>
      <c r="AN61" s="7">
        <f t="shared" si="31"/>
        <v>0</v>
      </c>
    </row>
    <row r="62" spans="1:41" ht="15.75">
      <c r="AC62" s="25"/>
      <c r="AD62" s="34"/>
      <c r="AE62" s="64"/>
      <c r="AF62" s="65"/>
      <c r="AG62" s="66"/>
      <c r="AH62" s="107"/>
      <c r="AI62" s="25"/>
      <c r="AJ62" s="34"/>
      <c r="AK62" s="64"/>
      <c r="AL62" s="65"/>
      <c r="AM62" s="7">
        <f t="shared" si="30"/>
        <v>0</v>
      </c>
      <c r="AN62" s="7">
        <f t="shared" si="31"/>
        <v>0</v>
      </c>
    </row>
    <row r="63" spans="1:41" ht="15.75">
      <c r="AC63" s="25"/>
      <c r="AD63" s="34"/>
      <c r="AE63" s="71"/>
      <c r="AF63" s="72"/>
      <c r="AG63" s="73"/>
      <c r="AH63" s="107"/>
      <c r="AI63" s="25"/>
      <c r="AJ63" s="34"/>
      <c r="AK63" s="71"/>
      <c r="AL63" s="72"/>
      <c r="AM63" s="7">
        <f t="shared" si="30"/>
        <v>0</v>
      </c>
      <c r="AN63" s="7">
        <f t="shared" si="31"/>
        <v>0</v>
      </c>
    </row>
    <row r="64" spans="1:41" ht="16.5" thickBot="1">
      <c r="AC64" s="35"/>
      <c r="AD64" s="44"/>
      <c r="AE64" s="80"/>
      <c r="AF64" s="81"/>
      <c r="AG64" s="73"/>
      <c r="AH64" s="107"/>
      <c r="AI64" s="35"/>
      <c r="AJ64" s="44"/>
      <c r="AK64" s="80"/>
      <c r="AL64" s="81"/>
      <c r="AM64" s="7">
        <f t="shared" si="30"/>
        <v>0</v>
      </c>
      <c r="AN64" s="7">
        <f t="shared" si="31"/>
        <v>0</v>
      </c>
    </row>
    <row r="65" spans="29:43" ht="15.75">
      <c r="AC65" s="70"/>
      <c r="AD65" s="70"/>
      <c r="AE65" s="73"/>
      <c r="AF65" s="73"/>
      <c r="AG65" s="110">
        <f>SUM(AG59:AG64)</f>
        <v>0</v>
      </c>
      <c r="AH65" s="111">
        <f>SUM(AH59:AH64)</f>
        <v>0</v>
      </c>
      <c r="AI65" s="73"/>
      <c r="AJ65" s="73"/>
      <c r="AK65" s="73"/>
      <c r="AL65" s="73"/>
      <c r="AM65" s="110">
        <f>SUM(AM59:AM64)</f>
        <v>0</v>
      </c>
      <c r="AN65" s="110">
        <f>SUM(AN59:AN64)</f>
        <v>0</v>
      </c>
    </row>
    <row r="66" spans="29:43">
      <c r="AC66" s="4"/>
      <c r="AD66" s="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"/>
      <c r="AP66" s="7"/>
      <c r="AQ66" s="4"/>
    </row>
    <row r="68" spans="29:43">
      <c r="AG68" s="109"/>
      <c r="AH68" s="109"/>
      <c r="AM68" s="109"/>
      <c r="AN68" s="109"/>
    </row>
    <row r="70" spans="29:43">
      <c r="AD70" s="8">
        <v>900</v>
      </c>
      <c r="AE70" s="8">
        <f>IF($AD$84=1,900,0)</f>
        <v>0</v>
      </c>
    </row>
    <row r="71" spans="29:43">
      <c r="AD71" s="8">
        <v>950</v>
      </c>
      <c r="AE71" s="8">
        <f>IF($AD$84=2,950,0)</f>
        <v>0</v>
      </c>
    </row>
    <row r="72" spans="29:43">
      <c r="AD72" s="8">
        <v>1000</v>
      </c>
      <c r="AE72" s="8">
        <f>IF($AD$84=3,1000,0)</f>
        <v>0</v>
      </c>
    </row>
    <row r="73" spans="29:43">
      <c r="AD73" s="8">
        <v>1050</v>
      </c>
      <c r="AE73" s="8">
        <f>IF($AD$84=4,1050,0)</f>
        <v>0</v>
      </c>
    </row>
    <row r="74" spans="29:43">
      <c r="AD74" s="8">
        <v>1100</v>
      </c>
      <c r="AE74" s="8">
        <f>IF($AD$84=5,1100,0)</f>
        <v>0</v>
      </c>
    </row>
    <row r="75" spans="29:43">
      <c r="AD75" s="8">
        <v>1150</v>
      </c>
      <c r="AE75" s="8">
        <f>IF($AD$84=6,1150,0)</f>
        <v>1150</v>
      </c>
    </row>
    <row r="76" spans="29:43">
      <c r="AD76" s="8">
        <v>1200</v>
      </c>
      <c r="AE76" s="8">
        <f>IF($AD$84=7,1200,0)</f>
        <v>0</v>
      </c>
    </row>
    <row r="77" spans="29:43">
      <c r="AD77" s="8">
        <v>1250</v>
      </c>
      <c r="AE77" s="8">
        <f>IF($AD$84=8,1250,0)</f>
        <v>0</v>
      </c>
    </row>
    <row r="78" spans="29:43">
      <c r="AD78" s="8">
        <v>1300</v>
      </c>
      <c r="AE78" s="8">
        <f>IF($AD$84=9,1300,0)</f>
        <v>0</v>
      </c>
    </row>
    <row r="79" spans="29:43">
      <c r="AD79" s="8">
        <v>1350</v>
      </c>
      <c r="AE79" s="8">
        <f>IF($AD$84=10,1350,0)</f>
        <v>0</v>
      </c>
    </row>
    <row r="80" spans="29:43">
      <c r="AD80" s="8">
        <v>1400</v>
      </c>
      <c r="AE80" s="8">
        <f>IF($AD$84=11,1400,0)</f>
        <v>0</v>
      </c>
    </row>
    <row r="81" spans="30:31">
      <c r="AD81" s="8">
        <v>1450</v>
      </c>
      <c r="AE81" s="8">
        <f>IF($AD$84=12,1450,0)</f>
        <v>0</v>
      </c>
    </row>
    <row r="82" spans="30:31">
      <c r="AD82" s="8">
        <v>1500</v>
      </c>
      <c r="AE82" s="8">
        <f>IF($AD$84=13,1500,0)</f>
        <v>0</v>
      </c>
    </row>
    <row r="84" spans="30:31">
      <c r="AD84" s="8">
        <v>6</v>
      </c>
      <c r="AE84" s="8">
        <f>SUM(AE70:AE82)</f>
        <v>1150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G30:H30"/>
    <mergeCell ref="AK11:AL11"/>
    <mergeCell ref="A13:C13"/>
    <mergeCell ref="AE21:AF21"/>
    <mergeCell ref="AK21:AL21"/>
    <mergeCell ref="E22:I22"/>
    <mergeCell ref="E24:H24"/>
    <mergeCell ref="AE11:AF11"/>
    <mergeCell ref="AC1:AC5"/>
    <mergeCell ref="A6:C6"/>
    <mergeCell ref="AC7:AC8"/>
    <mergeCell ref="A8:C8"/>
    <mergeCell ref="A10:C10"/>
    <mergeCell ref="J3:L3"/>
    <mergeCell ref="J5:L5"/>
  </mergeCells>
  <conditionalFormatting sqref="E53:X53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hyperlinks>
    <hyperlink ref="E22:I22" r:id="rId1" display="Clicca qua per la mappa di produttività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Impianti Titolo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2012-07-13T14:53:44Z</dcterms:modified>
</cp:coreProperties>
</file>