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Impianti Titolo II" sheetId="1" r:id="rId1"/>
    <sheet name="Calcoli Titolo II" sheetId="6" r:id="rId2"/>
  </sheets>
  <definedNames>
    <definedName name="_xlnm.Print_Area" localSheetId="0">'Impianti Titolo II'!$A$1:$X$70</definedName>
  </definedNames>
  <calcPr calcId="125725" forceFullCalc="1"/>
</workbook>
</file>

<file path=xl/calcChain.xml><?xml version="1.0" encoding="utf-8"?>
<calcChain xmlns="http://schemas.openxmlformats.org/spreadsheetml/2006/main">
  <c r="D116" i="6"/>
  <c r="H35" i="1"/>
  <c r="H34"/>
  <c r="F78" i="6"/>
  <c r="F77"/>
  <c r="D80" s="1"/>
  <c r="C37" i="1"/>
  <c r="E63" s="1"/>
  <c r="E65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H36" i="1" l="1"/>
  <c r="D81" i="6"/>
  <c r="W85"/>
  <c r="V85"/>
  <c r="U85"/>
  <c r="T85"/>
  <c r="S85"/>
  <c r="R85"/>
  <c r="Q85"/>
  <c r="P85"/>
  <c r="O85"/>
  <c r="N85"/>
  <c r="M85"/>
  <c r="J85"/>
  <c r="L85"/>
  <c r="K85"/>
  <c r="I85"/>
  <c r="H85"/>
  <c r="G85"/>
  <c r="F85"/>
  <c r="E85"/>
  <c r="D85"/>
  <c r="G80"/>
  <c r="K80"/>
  <c r="O80"/>
  <c r="S80"/>
  <c r="W80"/>
  <c r="J80"/>
  <c r="N80"/>
  <c r="R80"/>
  <c r="V80"/>
  <c r="I80"/>
  <c r="M80"/>
  <c r="Q80"/>
  <c r="U80"/>
  <c r="H80"/>
  <c r="L80"/>
  <c r="P80"/>
  <c r="T80"/>
  <c r="F80"/>
  <c r="E80"/>
  <c r="S41"/>
  <c r="E81" l="1"/>
  <c r="D84"/>
  <c r="F81" l="1"/>
  <c r="E84"/>
  <c r="H14"/>
  <c r="H15"/>
  <c r="H16"/>
  <c r="M1"/>
  <c r="P20" s="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X66" i="1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G81" i="6" l="1"/>
  <c r="F84"/>
  <c r="R20"/>
  <c r="P22"/>
  <c r="R22" s="1"/>
  <c r="P23"/>
  <c r="R23" s="1"/>
  <c r="P24"/>
  <c r="R24" s="1"/>
  <c r="P21"/>
  <c r="R21" s="1"/>
  <c r="P2"/>
  <c r="R2" s="1"/>
  <c r="P1"/>
  <c r="R1" s="1"/>
  <c r="P4"/>
  <c r="R4" s="1"/>
  <c r="P3"/>
  <c r="R3" s="1"/>
  <c r="P19"/>
  <c r="R19" s="1"/>
  <c r="P17"/>
  <c r="R17" s="1"/>
  <c r="P15"/>
  <c r="R15" s="1"/>
  <c r="P18"/>
  <c r="R18" s="1"/>
  <c r="P16"/>
  <c r="R16" s="1"/>
  <c r="P14"/>
  <c r="R14" s="1"/>
  <c r="P12"/>
  <c r="R12" s="1"/>
  <c r="P10"/>
  <c r="R10" s="1"/>
  <c r="P8"/>
  <c r="R8" s="1"/>
  <c r="P6"/>
  <c r="R6" s="1"/>
  <c r="P13"/>
  <c r="R13" s="1"/>
  <c r="P11"/>
  <c r="R11" s="1"/>
  <c r="P9"/>
  <c r="R9" s="1"/>
  <c r="P7"/>
  <c r="R7" s="1"/>
  <c r="P5"/>
  <c r="R5" s="1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29"/>
  <c r="I62"/>
  <c r="I64"/>
  <c r="O64"/>
  <c r="O29"/>
  <c r="H51"/>
  <c r="H65"/>
  <c r="N51"/>
  <c r="N65"/>
  <c r="H18"/>
  <c r="N18"/>
  <c r="H23"/>
  <c r="N23"/>
  <c r="H25"/>
  <c r="N25"/>
  <c r="H27"/>
  <c r="N27"/>
  <c r="H35"/>
  <c r="N35"/>
  <c r="I36"/>
  <c r="I39" s="1"/>
  <c r="O36"/>
  <c r="O39" s="1"/>
  <c r="H81" l="1"/>
  <c r="G84"/>
  <c r="H19"/>
  <c r="H39"/>
  <c r="N19"/>
  <c r="N39"/>
  <c r="O19"/>
  <c r="I19"/>
  <c r="I51"/>
  <c r="O51"/>
  <c r="I65"/>
  <c r="O65"/>
  <c r="H29"/>
  <c r="R27"/>
  <c r="N29"/>
  <c r="C27" i="1"/>
  <c r="Q52" i="6" l="1"/>
  <c r="S52" s="1"/>
  <c r="Q53"/>
  <c r="S53" s="1"/>
  <c r="E22" i="1"/>
  <c r="E23"/>
  <c r="I81" i="6"/>
  <c r="H84"/>
  <c r="C38" i="1"/>
  <c r="E48"/>
  <c r="F22"/>
  <c r="F23"/>
  <c r="S55" i="6" l="1"/>
  <c r="C30" i="1" s="1"/>
  <c r="C32" s="1"/>
  <c r="J81" i="6"/>
  <c r="I84"/>
  <c r="F48" i="1"/>
  <c r="G48" s="1"/>
  <c r="H48" s="1"/>
  <c r="I48" s="1"/>
  <c r="J48" s="1"/>
  <c r="K48" s="1"/>
  <c r="L48" s="1"/>
  <c r="M48" s="1"/>
  <c r="N48" s="1"/>
  <c r="O48" s="1"/>
  <c r="P48" s="1"/>
  <c r="Q48" s="1"/>
  <c r="R48" s="1"/>
  <c r="S48" s="1"/>
  <c r="T48" s="1"/>
  <c r="U48" s="1"/>
  <c r="V48" s="1"/>
  <c r="W48" s="1"/>
  <c r="X48" s="1"/>
  <c r="E64"/>
  <c r="U64"/>
  <c r="Q64"/>
  <c r="M64"/>
  <c r="I64"/>
  <c r="V64"/>
  <c r="R64"/>
  <c r="N64"/>
  <c r="J64"/>
  <c r="F64"/>
  <c r="W64"/>
  <c r="S64"/>
  <c r="O64"/>
  <c r="K64"/>
  <c r="G64"/>
  <c r="X64"/>
  <c r="T64"/>
  <c r="P64"/>
  <c r="L64"/>
  <c r="H64"/>
  <c r="E49" l="1"/>
  <c r="E54" s="1"/>
  <c r="C31"/>
  <c r="K81" i="6"/>
  <c r="J84"/>
  <c r="F49" i="1" l="1"/>
  <c r="F54" s="1"/>
  <c r="E50"/>
  <c r="L81" i="6"/>
  <c r="K84"/>
  <c r="G49" i="1" l="1"/>
  <c r="G54" s="1"/>
  <c r="F50"/>
  <c r="M81" i="6"/>
  <c r="L84"/>
  <c r="G50" i="1" l="1"/>
  <c r="H49"/>
  <c r="H54" s="1"/>
  <c r="N81" i="6"/>
  <c r="M84"/>
  <c r="I49" i="1" l="1"/>
  <c r="I54" s="1"/>
  <c r="H50"/>
  <c r="O81" i="6"/>
  <c r="N84"/>
  <c r="I50" i="1" l="1"/>
  <c r="J49"/>
  <c r="J54" s="1"/>
  <c r="P81" i="6"/>
  <c r="O84"/>
  <c r="K49" i="1" l="1"/>
  <c r="K54" s="1"/>
  <c r="J50"/>
  <c r="Q81" i="6"/>
  <c r="P84"/>
  <c r="K50" i="1" l="1"/>
  <c r="L49"/>
  <c r="L54" s="1"/>
  <c r="R81" i="6"/>
  <c r="Q84"/>
  <c r="M49" i="1" l="1"/>
  <c r="M54" s="1"/>
  <c r="L50"/>
  <c r="S81" i="6"/>
  <c r="R84"/>
  <c r="N49" i="1" l="1"/>
  <c r="N54" s="1"/>
  <c r="M50"/>
  <c r="T81" i="6"/>
  <c r="S84"/>
  <c r="O49" i="1" l="1"/>
  <c r="P49" s="1"/>
  <c r="P54" s="1"/>
  <c r="N50"/>
  <c r="U81" i="6"/>
  <c r="T84"/>
  <c r="O54" i="1" l="1"/>
  <c r="O50"/>
  <c r="Q49"/>
  <c r="Q54" s="1"/>
  <c r="P50"/>
  <c r="V81" i="6"/>
  <c r="U84"/>
  <c r="Q50" i="1" l="1"/>
  <c r="R49"/>
  <c r="R54" s="1"/>
  <c r="W81" i="6"/>
  <c r="W84" s="1"/>
  <c r="V84"/>
  <c r="S49" i="1" l="1"/>
  <c r="S54" s="1"/>
  <c r="R50"/>
  <c r="S50" l="1"/>
  <c r="T49"/>
  <c r="T54" s="1"/>
  <c r="T50" l="1"/>
  <c r="U49"/>
  <c r="U54" s="1"/>
  <c r="D23"/>
  <c r="D22"/>
  <c r="U50" l="1"/>
  <c r="V49"/>
  <c r="V54" s="1"/>
  <c r="E53"/>
  <c r="U53"/>
  <c r="Q53"/>
  <c r="M53"/>
  <c r="I53"/>
  <c r="R53"/>
  <c r="N53"/>
  <c r="J53"/>
  <c r="F53"/>
  <c r="S53"/>
  <c r="O53"/>
  <c r="K53"/>
  <c r="G53"/>
  <c r="T53"/>
  <c r="P53"/>
  <c r="L53"/>
  <c r="H53"/>
  <c r="E52"/>
  <c r="U52"/>
  <c r="Q52"/>
  <c r="M52"/>
  <c r="I52"/>
  <c r="R52"/>
  <c r="N52"/>
  <c r="J52"/>
  <c r="F52"/>
  <c r="S52"/>
  <c r="O52"/>
  <c r="K52"/>
  <c r="G52"/>
  <c r="T52"/>
  <c r="P52"/>
  <c r="L52"/>
  <c r="H52"/>
  <c r="V50" l="1"/>
  <c r="V52" s="1"/>
  <c r="V53"/>
  <c r="W49"/>
  <c r="W53" s="1"/>
  <c r="E55"/>
  <c r="F55"/>
  <c r="I55"/>
  <c r="U55"/>
  <c r="O55"/>
  <c r="L55"/>
  <c r="G55"/>
  <c r="R55"/>
  <c r="Q55"/>
  <c r="T55"/>
  <c r="J55"/>
  <c r="P55"/>
  <c r="K55"/>
  <c r="H55"/>
  <c r="S55"/>
  <c r="N55"/>
  <c r="M55"/>
  <c r="V55" l="1"/>
  <c r="W50"/>
  <c r="W52" s="1"/>
  <c r="X49"/>
  <c r="X54" s="1"/>
  <c r="W54"/>
  <c r="W55" l="1"/>
  <c r="X53"/>
  <c r="X50"/>
  <c r="X52" s="1"/>
  <c r="X55" l="1"/>
  <c r="D87" i="6"/>
  <c r="E87" s="1"/>
  <c r="F57" i="1" l="1"/>
  <c r="E67" i="6" s="1"/>
  <c r="F58" i="1" s="1"/>
  <c r="F60" s="1"/>
  <c r="F87" i="6"/>
  <c r="E57" i="1"/>
  <c r="E91" i="6" l="1"/>
  <c r="E93" s="1"/>
  <c r="E94" s="1"/>
  <c r="F61" i="1"/>
  <c r="G57"/>
  <c r="F67" i="6" s="1"/>
  <c r="G58" i="1" s="1"/>
  <c r="G60" s="1"/>
  <c r="G87" i="6"/>
  <c r="D67"/>
  <c r="E58" i="1" s="1"/>
  <c r="E61" l="1"/>
  <c r="E60"/>
  <c r="E102" i="6"/>
  <c r="E103" s="1"/>
  <c r="E96"/>
  <c r="E97" s="1"/>
  <c r="E105"/>
  <c r="F91"/>
  <c r="F102" s="1"/>
  <c r="F103" s="1"/>
  <c r="G61" i="1"/>
  <c r="E99" i="6"/>
  <c r="E100" s="1"/>
  <c r="D91"/>
  <c r="D105" s="1"/>
  <c r="H57" i="1"/>
  <c r="G67" i="6" s="1"/>
  <c r="H58" i="1" s="1"/>
  <c r="H87" i="6"/>
  <c r="H61" i="1" l="1"/>
  <c r="H60"/>
  <c r="D96" i="6"/>
  <c r="D97" s="1"/>
  <c r="F105"/>
  <c r="F106" s="1"/>
  <c r="D99"/>
  <c r="D100" s="1"/>
  <c r="D102"/>
  <c r="D103" s="1"/>
  <c r="F96"/>
  <c r="F97" s="1"/>
  <c r="E106"/>
  <c r="E109" s="1"/>
  <c r="D93"/>
  <c r="D94" s="1"/>
  <c r="F99"/>
  <c r="F100" s="1"/>
  <c r="F93"/>
  <c r="F94" s="1"/>
  <c r="G91"/>
  <c r="I57" i="1"/>
  <c r="H67" i="6" s="1"/>
  <c r="I58" i="1" s="1"/>
  <c r="I87" i="6"/>
  <c r="I61" i="1" l="1"/>
  <c r="I60"/>
  <c r="F59"/>
  <c r="F67" s="1"/>
  <c r="F109" i="6"/>
  <c r="G105"/>
  <c r="G99"/>
  <c r="G100" s="1"/>
  <c r="G93"/>
  <c r="G94" s="1"/>
  <c r="G102"/>
  <c r="G103" s="1"/>
  <c r="G96"/>
  <c r="G97" s="1"/>
  <c r="H91"/>
  <c r="J57" i="1"/>
  <c r="I67" i="6" s="1"/>
  <c r="J58" i="1" s="1"/>
  <c r="J87" i="6"/>
  <c r="D106"/>
  <c r="D109" s="1"/>
  <c r="J61" i="1" l="1"/>
  <c r="J60"/>
  <c r="G59"/>
  <c r="G67" s="1"/>
  <c r="E59"/>
  <c r="E67" s="1"/>
  <c r="E70" s="1"/>
  <c r="G106" i="6"/>
  <c r="G109" s="1"/>
  <c r="K57" i="1"/>
  <c r="J67" i="6" s="1"/>
  <c r="K58" i="1" s="1"/>
  <c r="K87" i="6"/>
  <c r="H105"/>
  <c r="H93"/>
  <c r="H94" s="1"/>
  <c r="H99"/>
  <c r="H100" s="1"/>
  <c r="H96"/>
  <c r="H97" s="1"/>
  <c r="H102"/>
  <c r="H103" s="1"/>
  <c r="I91"/>
  <c r="K61" i="1" l="1"/>
  <c r="K60"/>
  <c r="H59"/>
  <c r="H67" s="1"/>
  <c r="C113" i="6"/>
  <c r="F70" i="1"/>
  <c r="D113" i="6" s="1"/>
  <c r="H106"/>
  <c r="H109" s="1"/>
  <c r="J91"/>
  <c r="I93"/>
  <c r="I94" s="1"/>
  <c r="I96"/>
  <c r="I97" s="1"/>
  <c r="I99"/>
  <c r="I100" s="1"/>
  <c r="I105"/>
  <c r="I106" s="1"/>
  <c r="I102"/>
  <c r="I103" s="1"/>
  <c r="L57" i="1"/>
  <c r="K67" i="6" s="1"/>
  <c r="L58" i="1" s="1"/>
  <c r="L87" i="6"/>
  <c r="L61" i="1" l="1"/>
  <c r="L60"/>
  <c r="I59"/>
  <c r="I67" s="1"/>
  <c r="G70"/>
  <c r="E113" i="6" s="1"/>
  <c r="I109"/>
  <c r="M57" i="1"/>
  <c r="L67" i="6" s="1"/>
  <c r="M58" i="1" s="1"/>
  <c r="M87" i="6"/>
  <c r="J93"/>
  <c r="J94" s="1"/>
  <c r="J96"/>
  <c r="J97" s="1"/>
  <c r="J105"/>
  <c r="J102"/>
  <c r="J103" s="1"/>
  <c r="J99"/>
  <c r="J100" s="1"/>
  <c r="K91"/>
  <c r="M61" i="1" l="1"/>
  <c r="M60"/>
  <c r="H70"/>
  <c r="F113" i="6" s="1"/>
  <c r="J59" i="1"/>
  <c r="J67" s="1"/>
  <c r="L91" i="6"/>
  <c r="N57" i="1"/>
  <c r="M67" i="6" s="1"/>
  <c r="N58" i="1" s="1"/>
  <c r="N87" i="6"/>
  <c r="K105"/>
  <c r="K93"/>
  <c r="K94" s="1"/>
  <c r="K99"/>
  <c r="K100" s="1"/>
  <c r="K96"/>
  <c r="K97" s="1"/>
  <c r="K102"/>
  <c r="K103" s="1"/>
  <c r="J106"/>
  <c r="J109" s="1"/>
  <c r="N61" i="1" l="1"/>
  <c r="N60"/>
  <c r="I70"/>
  <c r="G113" i="6" s="1"/>
  <c r="K59" i="1"/>
  <c r="K67" s="1"/>
  <c r="K106" i="6"/>
  <c r="K109" s="1"/>
  <c r="L105"/>
  <c r="L102"/>
  <c r="L103" s="1"/>
  <c r="L93"/>
  <c r="L94" s="1"/>
  <c r="L99"/>
  <c r="L100" s="1"/>
  <c r="L96"/>
  <c r="L97" s="1"/>
  <c r="M91"/>
  <c r="O57" i="1"/>
  <c r="N67" i="6" s="1"/>
  <c r="O58" i="1" s="1"/>
  <c r="O87" i="6"/>
  <c r="O61" i="1" l="1"/>
  <c r="O60"/>
  <c r="J70"/>
  <c r="H113" i="6" s="1"/>
  <c r="L59" i="1"/>
  <c r="L67" s="1"/>
  <c r="L106" i="6"/>
  <c r="L109" s="1"/>
  <c r="N91"/>
  <c r="P57" i="1"/>
  <c r="O67" i="6" s="1"/>
  <c r="P58" i="1" s="1"/>
  <c r="P87" i="6"/>
  <c r="M99"/>
  <c r="M100" s="1"/>
  <c r="M102"/>
  <c r="M103" s="1"/>
  <c r="M93"/>
  <c r="M94" s="1"/>
  <c r="M105"/>
  <c r="M96"/>
  <c r="M97" s="1"/>
  <c r="P61" i="1" l="1"/>
  <c r="P60"/>
  <c r="K70"/>
  <c r="I113" i="6" s="1"/>
  <c r="M59" i="1"/>
  <c r="M67" s="1"/>
  <c r="M106" i="6"/>
  <c r="M109" s="1"/>
  <c r="Q57" i="1"/>
  <c r="P67" i="6" s="1"/>
  <c r="Q58" i="1" s="1"/>
  <c r="Q87" i="6"/>
  <c r="N105"/>
  <c r="N99"/>
  <c r="N100" s="1"/>
  <c r="N96"/>
  <c r="N97" s="1"/>
  <c r="N102"/>
  <c r="N103" s="1"/>
  <c r="N93"/>
  <c r="N94" s="1"/>
  <c r="O91"/>
  <c r="Q61" i="1" l="1"/>
  <c r="Q60"/>
  <c r="L70"/>
  <c r="M70" s="1"/>
  <c r="N59"/>
  <c r="N67" s="1"/>
  <c r="N106" i="6"/>
  <c r="N109" s="1"/>
  <c r="O102"/>
  <c r="O103" s="1"/>
  <c r="O105"/>
  <c r="O106" s="1"/>
  <c r="O93"/>
  <c r="O94" s="1"/>
  <c r="O99"/>
  <c r="O100" s="1"/>
  <c r="O96"/>
  <c r="O97" s="1"/>
  <c r="P91"/>
  <c r="R57" i="1"/>
  <c r="Q67" i="6" s="1"/>
  <c r="R58" i="1" s="1"/>
  <c r="R87" i="6"/>
  <c r="J113" l="1"/>
  <c r="R61" i="1"/>
  <c r="R60"/>
  <c r="O59"/>
  <c r="O67" s="1"/>
  <c r="N70"/>
  <c r="K113" i="6"/>
  <c r="Q91"/>
  <c r="S57" i="1"/>
  <c r="R67" i="6" s="1"/>
  <c r="S58" i="1" s="1"/>
  <c r="S87" i="6"/>
  <c r="P105"/>
  <c r="P106" s="1"/>
  <c r="P96"/>
  <c r="P97" s="1"/>
  <c r="P93"/>
  <c r="P94" s="1"/>
  <c r="P99"/>
  <c r="P100" s="1"/>
  <c r="P102"/>
  <c r="P103" s="1"/>
  <c r="O109"/>
  <c r="S61" i="1" l="1"/>
  <c r="S60"/>
  <c r="P59"/>
  <c r="P67" s="1"/>
  <c r="O70"/>
  <c r="L113" i="6"/>
  <c r="P109"/>
  <c r="Q105"/>
  <c r="Q106" s="1"/>
  <c r="Q99"/>
  <c r="Q100" s="1"/>
  <c r="Q93"/>
  <c r="Q94" s="1"/>
  <c r="Q96"/>
  <c r="Q97" s="1"/>
  <c r="Q102"/>
  <c r="Q103" s="1"/>
  <c r="R91"/>
  <c r="T87"/>
  <c r="T57" i="1"/>
  <c r="S67" i="6" s="1"/>
  <c r="T58" i="1" s="1"/>
  <c r="T61" l="1"/>
  <c r="T60"/>
  <c r="Q59"/>
  <c r="Q67" s="1"/>
  <c r="P70"/>
  <c r="M113" i="6"/>
  <c r="S91"/>
  <c r="R105"/>
  <c r="R106" s="1"/>
  <c r="R102"/>
  <c r="R103" s="1"/>
  <c r="R93"/>
  <c r="R94" s="1"/>
  <c r="R96"/>
  <c r="R97" s="1"/>
  <c r="R99"/>
  <c r="R100" s="1"/>
  <c r="U57" i="1"/>
  <c r="T67" i="6" s="1"/>
  <c r="U58" i="1" s="1"/>
  <c r="U87" i="6"/>
  <c r="Q109"/>
  <c r="U61" i="1" l="1"/>
  <c r="U60"/>
  <c r="R59"/>
  <c r="R67" s="1"/>
  <c r="Q70"/>
  <c r="N113" i="6"/>
  <c r="S105"/>
  <c r="S106" s="1"/>
  <c r="S96"/>
  <c r="S97" s="1"/>
  <c r="S93"/>
  <c r="S94" s="1"/>
  <c r="S102"/>
  <c r="S103" s="1"/>
  <c r="S99"/>
  <c r="S100" s="1"/>
  <c r="V57" i="1"/>
  <c r="U67" i="6" s="1"/>
  <c r="V58" i="1" s="1"/>
  <c r="V87" i="6"/>
  <c r="T91"/>
  <c r="R109"/>
  <c r="V61" i="1" l="1"/>
  <c r="V60"/>
  <c r="S59"/>
  <c r="S67" s="1"/>
  <c r="R70"/>
  <c r="O113" i="6"/>
  <c r="S109"/>
  <c r="U91"/>
  <c r="W57" i="1"/>
  <c r="V67" i="6" s="1"/>
  <c r="W58" i="1" s="1"/>
  <c r="W87" i="6"/>
  <c r="X57" i="1" s="1"/>
  <c r="W67" i="6" s="1"/>
  <c r="X58" i="1" s="1"/>
  <c r="T105" i="6"/>
  <c r="T106" s="1"/>
  <c r="T93"/>
  <c r="T94" s="1"/>
  <c r="T96"/>
  <c r="T97" s="1"/>
  <c r="T99"/>
  <c r="T100" s="1"/>
  <c r="T102"/>
  <c r="T103" s="1"/>
  <c r="X61" i="1" l="1"/>
  <c r="X60"/>
  <c r="W61"/>
  <c r="W60"/>
  <c r="T59"/>
  <c r="T67" s="1"/>
  <c r="S70"/>
  <c r="P113" i="6"/>
  <c r="W91"/>
  <c r="U105"/>
  <c r="U106" s="1"/>
  <c r="U96"/>
  <c r="U97" s="1"/>
  <c r="U93"/>
  <c r="U94" s="1"/>
  <c r="U102"/>
  <c r="U103" s="1"/>
  <c r="U99"/>
  <c r="U100" s="1"/>
  <c r="V91"/>
  <c r="T109"/>
  <c r="U59" i="1" l="1"/>
  <c r="U67" s="1"/>
  <c r="T70"/>
  <c r="Q113" i="6"/>
  <c r="W93"/>
  <c r="W94" s="1"/>
  <c r="W105"/>
  <c r="W106" s="1"/>
  <c r="W96"/>
  <c r="W97" s="1"/>
  <c r="W99"/>
  <c r="W100" s="1"/>
  <c r="W102"/>
  <c r="W103" s="1"/>
  <c r="V105"/>
  <c r="V106" s="1"/>
  <c r="V99"/>
  <c r="V100" s="1"/>
  <c r="V96"/>
  <c r="V97" s="1"/>
  <c r="V93"/>
  <c r="V94" s="1"/>
  <c r="V102"/>
  <c r="V103" s="1"/>
  <c r="U109"/>
  <c r="V59" i="1" l="1"/>
  <c r="V67" s="1"/>
  <c r="U70"/>
  <c r="R113" i="6"/>
  <c r="V109"/>
  <c r="W109"/>
  <c r="W59" i="1" l="1"/>
  <c r="W67" s="1"/>
  <c r="X59"/>
  <c r="X67" s="1"/>
  <c r="V70"/>
  <c r="S113" i="6"/>
  <c r="W70" i="1" l="1"/>
  <c r="T113" i="6"/>
  <c r="X70" i="1" l="1"/>
  <c r="V113" i="6" s="1"/>
  <c r="U113"/>
</calcChain>
</file>

<file path=xl/sharedStrings.xml><?xml version="1.0" encoding="utf-8"?>
<sst xmlns="http://schemas.openxmlformats.org/spreadsheetml/2006/main" count="231" uniqueCount="134">
  <si>
    <t>Impianto su edificio</t>
  </si>
  <si>
    <t>Altri impianti</t>
  </si>
  <si>
    <t>Omni</t>
  </si>
  <si>
    <t>Auto</t>
  </si>
  <si>
    <t>Edificio</t>
  </si>
  <si>
    <t>Altro</t>
  </si>
  <si>
    <t>Potenza impianto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</si>
  <si>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</si>
  <si>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</si>
  <si>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</si>
  <si>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</si>
  <si>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</si>
  <si>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</si>
  <si>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</si>
  <si>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</si>
  <si>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</si>
  <si>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</si>
  <si>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</si>
  <si>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</si>
  <si>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</si>
  <si>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</si>
  <si>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</si>
  <si>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</si>
  <si>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</si>
  <si>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</si>
  <si>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</si>
  <si>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</si>
  <si>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</si>
  <si>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</si>
  <si>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</si>
  <si>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</si>
  <si>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</si>
  <si>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</si>
  <si>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</si>
  <si>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</si>
  <si>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</si>
  <si>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</si>
  <si>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</si>
  <si>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</si>
  <si>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</si>
  <si>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Ricavo tariffa omnicomprensiva</t>
  </si>
  <si>
    <t xml:space="preserve">Ricavo tariffa autoconsumo </t>
  </si>
  <si>
    <t>Risparmio in bolletta</t>
  </si>
  <si>
    <t>Totale ricavi + risparmio</t>
  </si>
  <si>
    <t>Cassa (entrate-uscite)</t>
  </si>
  <si>
    <t>Anno 1</t>
  </si>
  <si>
    <t>Altre spese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</si>
  <si>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</si>
  <si>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</si>
  <si>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</si>
  <si>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</si>
  <si>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</si>
  <si>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</si>
  <si>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</si>
  <si>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</si>
  <si>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</si>
  <si>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</si>
  <si>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</si>
  <si>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</si>
  <si>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</si>
  <si>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</si>
  <si>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</si>
  <si>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</si>
  <si>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</si>
  <si>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</si>
  <si>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</si>
  <si>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</si>
  <si>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</si>
  <si>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</si>
  <si>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Calcolo impianto fotovoltaico Quinto Conto Energia (Impianti Titolo II)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</si>
  <si>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</si>
  <si>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</si>
  <si>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</si>
  <si>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</si>
  <si>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</si>
  <si>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</si>
  <si>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</si>
  <si>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</si>
  <si>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</si>
  <si>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</si>
  <si>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</si>
  <si>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</si>
  <si>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</si>
  <si>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 xml:space="preserve">Tipo di impianto 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</si>
  <si>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</si>
  <si>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</si>
  <si>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</si>
  <si>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</si>
  <si>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</si>
  <si>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</si>
  <si>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Altri costi una tantum</t>
  </si>
  <si>
    <t>Decadimento prestazioni pannelli</t>
  </si>
  <si>
    <t>Aumento annuo consumi energia</t>
  </si>
  <si>
    <t>Consigliato 4-6% annuo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</si>
  <si>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</si>
  <si>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</si>
  <si>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</si>
  <si>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</si>
  <si>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</si>
  <si>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</si>
  <si>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</si>
  <si>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Totale spese + tasse</t>
  </si>
  <si>
    <t>Impianto soggetto a imposte</t>
  </si>
  <si>
    <t>Aliquota IRAP</t>
  </si>
  <si>
    <t>NO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</si>
  <si>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</si>
  <si>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</si>
  <si>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</si>
  <si>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</si>
  <si>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</si>
  <si>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</si>
  <si>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</si>
  <si>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</si>
  <si>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</si>
  <si>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</si>
  <si>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</si>
  <si>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</si>
  <si>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</si>
  <si>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</si>
  <si>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</si>
  <si>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</si>
  <si>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</si>
  <si>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</si>
  <si>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</si>
  <si>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</si>
  <si>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Altri costi</t>
  </si>
  <si>
    <t>TOTALE……………………………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</si>
  <si>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</si>
  <si>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</si>
  <si>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</si>
  <si>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</si>
  <si>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</si>
  <si>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</si>
  <si>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Costi Allacciamento Enel, smaltiento Amianto, etc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</si>
</sst>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&quot;€&quot;\ #,##0"/>
    <numFmt numFmtId="167" formatCode="&quot;€&quot;\ #,##0.00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0"/>
      <name val="Calibri"/>
      <family val="2"/>
    </font>
    <font>
      <b/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9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3" fillId="3" borderId="14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3" fillId="0" borderId="20" xfId="0" applyFont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3" fillId="3" borderId="5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3" xfId="0" applyFont="1" applyBorder="1" applyProtection="1"/>
    <xf numFmtId="0" fontId="0" fillId="0" borderId="24" xfId="0" applyBorder="1" applyProtection="1"/>
    <xf numFmtId="0" fontId="0" fillId="0" borderId="25" xfId="0" applyBorder="1" applyProtection="1"/>
    <xf numFmtId="0" fontId="3" fillId="3" borderId="8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1" fontId="0" fillId="0" borderId="0" xfId="0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8" fillId="0" borderId="0" xfId="1" applyFont="1" applyBorder="1" applyAlignment="1" applyProtection="1"/>
    <xf numFmtId="0" fontId="4" fillId="3" borderId="0" xfId="0" applyFont="1" applyFill="1" applyBorder="1" applyProtection="1"/>
    <xf numFmtId="0" fontId="1" fillId="3" borderId="0" xfId="0" applyFont="1" applyFill="1" applyBorder="1" applyProtection="1"/>
    <xf numFmtId="0" fontId="0" fillId="0" borderId="26" xfId="0" applyBorder="1" applyProtection="1"/>
    <xf numFmtId="0" fontId="0" fillId="0" borderId="18" xfId="0" applyBorder="1" applyProtection="1"/>
    <xf numFmtId="0" fontId="0" fillId="0" borderId="15" xfId="0" applyBorder="1" applyProtection="1"/>
    <xf numFmtId="0" fontId="4" fillId="0" borderId="27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27" xfId="0" applyFont="1" applyBorder="1" applyProtection="1"/>
    <xf numFmtId="0" fontId="1" fillId="0" borderId="16" xfId="0" applyFont="1" applyBorder="1" applyProtection="1"/>
    <xf numFmtId="0" fontId="4" fillId="0" borderId="27" xfId="0" applyFont="1" applyBorder="1" applyProtection="1"/>
    <xf numFmtId="0" fontId="4" fillId="0" borderId="28" xfId="0" applyFont="1" applyBorder="1" applyProtection="1"/>
    <xf numFmtId="0" fontId="1" fillId="0" borderId="19" xfId="0" applyFont="1" applyBorder="1" applyProtection="1"/>
    <xf numFmtId="0" fontId="4" fillId="0" borderId="19" xfId="0" applyFont="1" applyBorder="1" applyAlignment="1" applyProtection="1">
      <alignment horizontal="left"/>
    </xf>
    <xf numFmtId="0" fontId="1" fillId="0" borderId="17" xfId="0" applyFont="1" applyBorder="1" applyProtection="1"/>
    <xf numFmtId="0" fontId="0" fillId="3" borderId="13" xfId="0" applyFill="1" applyBorder="1" applyProtection="1"/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9" xfId="0" applyFont="1" applyBorder="1" applyProtection="1"/>
    <xf numFmtId="164" fontId="7" fillId="0" borderId="1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11" fillId="0" borderId="0" xfId="1" applyFont="1" applyBorder="1" applyAlignment="1" applyProtection="1"/>
    <xf numFmtId="0" fontId="12" fillId="0" borderId="0" xfId="1" applyFont="1" applyBorder="1" applyAlignment="1" applyProtection="1"/>
    <xf numFmtId="0" fontId="0" fillId="0" borderId="0" xfId="0" applyAlignment="1" applyProtection="1">
      <alignment horizontal="left"/>
    </xf>
    <xf numFmtId="0" fontId="0" fillId="0" borderId="16" xfId="0" applyBorder="1" applyAlignment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166" fontId="0" fillId="0" borderId="0" xfId="0" applyNumberForma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  <protection locked="0"/>
    </xf>
    <xf numFmtId="1" fontId="3" fillId="3" borderId="0" xfId="0" applyNumberFormat="1" applyFont="1" applyFill="1" applyBorder="1" applyAlignment="1" applyProtection="1">
      <alignment horizontal="right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7" fontId="4" fillId="3" borderId="0" xfId="0" applyNumberFormat="1" applyFont="1" applyFill="1" applyBorder="1" applyAlignment="1" applyProtection="1"/>
    <xf numFmtId="167" fontId="4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0" fontId="1" fillId="0" borderId="4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167" fontId="4" fillId="3" borderId="19" xfId="0" applyNumberFormat="1" applyFont="1" applyFill="1" applyBorder="1" applyAlignment="1" applyProtection="1"/>
    <xf numFmtId="167" fontId="4" fillId="3" borderId="18" xfId="0" applyNumberFormat="1" applyFont="1" applyFill="1" applyBorder="1" applyAlignment="1" applyProtection="1">
      <alignment horizontal="right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6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0" fillId="0" borderId="28" xfId="0" applyBorder="1" applyAlignment="1" applyProtection="1">
      <alignment horizontal="left" wrapText="1"/>
    </xf>
    <xf numFmtId="0" fontId="0" fillId="0" borderId="19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167" fontId="4" fillId="3" borderId="0" xfId="0" applyNumberFormat="1" applyFont="1" applyFill="1" applyBorder="1" applyAlignment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Y70"/>
  <sheetViews>
    <sheetView tabSelected="1" topLeftCell="A7" zoomScale="95" zoomScaleNormal="95" workbookViewId="0">
      <selection activeCell="S15" sqref="S15:T15"/>
    </sheetView>
  </sheetViews>
  <sheetFormatPr defaultRowHeight="15"/>
  <cols>
    <col min="1" max="1" width="14.7109375" style="7" customWidth="1"/>
    <col min="2" max="2" width="20.7109375" style="7" customWidth="1"/>
    <col min="3" max="3" width="8.140625" style="7" customWidth="1"/>
    <col min="4" max="4" width="6.140625" style="7" customWidth="1"/>
    <col min="5" max="24" width="9.7109375" style="7" customWidth="1"/>
    <col min="25" max="27" width="9.140625" style="7" customWidth="1"/>
    <col min="28" max="16384" width="9.140625" style="7"/>
  </cols>
  <sheetData>
    <row r="1" spans="1:17" s="2" customFormat="1" ht="18.75">
      <c r="A1" s="2" t="s">
        <v>69</v>
      </c>
    </row>
    <row r="2" spans="1:17" ht="13.5" customHeight="1" thickBot="1"/>
    <row r="3" spans="1:17" ht="16.5" thickBot="1">
      <c r="A3" s="9" t="s">
        <v>6</v>
      </c>
      <c r="B3" s="10"/>
      <c r="C3" s="70">
        <v>50</v>
      </c>
      <c r="D3" s="11" t="s">
        <v>13</v>
      </c>
      <c r="H3" s="98"/>
      <c r="I3" s="22" t="s">
        <v>71</v>
      </c>
      <c r="J3" s="22"/>
      <c r="K3" s="22"/>
      <c r="L3" s="115"/>
      <c r="M3" s="97"/>
      <c r="N3" s="22" t="s">
        <v>72</v>
      </c>
      <c r="O3" s="22"/>
      <c r="P3" s="22"/>
      <c r="Q3" s="22"/>
    </row>
    <row r="4" spans="1:17" ht="9.75" customHeight="1" thickBot="1">
      <c r="A4" s="12"/>
      <c r="B4" s="12"/>
      <c r="C4" s="13"/>
      <c r="D4" s="12"/>
      <c r="J4" s="114"/>
      <c r="K4" s="114"/>
      <c r="L4" s="114"/>
    </row>
    <row r="5" spans="1:17" ht="15.75" customHeight="1">
      <c r="A5" s="14"/>
      <c r="B5" s="15"/>
      <c r="C5" s="15"/>
      <c r="D5" s="15"/>
      <c r="E5" s="16"/>
      <c r="F5" s="17"/>
      <c r="H5" s="116"/>
      <c r="I5" s="117"/>
      <c r="J5" s="118"/>
      <c r="K5" s="118"/>
      <c r="L5" s="119"/>
      <c r="M5" s="16"/>
      <c r="N5" s="16"/>
      <c r="O5" s="17"/>
    </row>
    <row r="6" spans="1:17" ht="15.75">
      <c r="A6" s="145" t="s">
        <v>15</v>
      </c>
      <c r="B6" s="146"/>
      <c r="C6" s="146"/>
      <c r="D6" s="12"/>
      <c r="E6" s="3"/>
      <c r="F6" s="8"/>
      <c r="H6" s="23" t="s">
        <v>102</v>
      </c>
      <c r="I6" s="3"/>
      <c r="J6" s="3"/>
      <c r="K6" s="3"/>
      <c r="L6" s="3"/>
      <c r="M6" s="3"/>
      <c r="N6" s="3"/>
      <c r="O6" s="8"/>
    </row>
    <row r="7" spans="1:17" ht="15.75">
      <c r="A7" s="140"/>
      <c r="B7" s="12"/>
      <c r="C7" s="12"/>
      <c r="D7" s="12"/>
      <c r="E7" s="3"/>
      <c r="F7" s="8"/>
      <c r="H7" s="23"/>
      <c r="I7" s="3"/>
      <c r="J7" s="3"/>
      <c r="K7" s="3"/>
      <c r="L7" s="3"/>
      <c r="M7" s="3"/>
      <c r="N7" s="3"/>
      <c r="O7" s="8"/>
    </row>
    <row r="8" spans="1:17" ht="15.75">
      <c r="A8" s="145" t="s">
        <v>14</v>
      </c>
      <c r="B8" s="146"/>
      <c r="C8" s="146"/>
      <c r="D8" s="12"/>
      <c r="E8" s="3"/>
      <c r="F8" s="8"/>
      <c r="H8" s="23" t="s">
        <v>95</v>
      </c>
      <c r="I8" s="3"/>
      <c r="J8" s="3"/>
      <c r="K8" s="142">
        <v>9</v>
      </c>
      <c r="L8" s="3" t="s">
        <v>67</v>
      </c>
      <c r="M8" s="3"/>
      <c r="N8" s="120"/>
      <c r="O8" s="8"/>
    </row>
    <row r="9" spans="1:17" ht="15.75">
      <c r="A9" s="140"/>
      <c r="B9" s="12"/>
      <c r="C9" s="12"/>
      <c r="D9" s="12"/>
      <c r="E9" s="3"/>
      <c r="F9" s="8"/>
      <c r="H9" s="23"/>
      <c r="I9" s="3"/>
      <c r="J9" s="3"/>
      <c r="K9" s="125"/>
      <c r="L9" s="3"/>
      <c r="M9" s="3"/>
      <c r="N9" s="3"/>
      <c r="O9" s="8"/>
    </row>
    <row r="10" spans="1:17" ht="15.75">
      <c r="A10" s="145" t="s">
        <v>83</v>
      </c>
      <c r="B10" s="146"/>
      <c r="C10" s="146"/>
      <c r="D10" s="12"/>
      <c r="E10" s="3"/>
      <c r="F10" s="8"/>
      <c r="H10" s="23" t="s">
        <v>107</v>
      </c>
      <c r="I10" s="3"/>
      <c r="J10" s="3"/>
      <c r="K10" s="126"/>
      <c r="L10" s="142">
        <v>23</v>
      </c>
      <c r="M10" s="3" t="s">
        <v>67</v>
      </c>
      <c r="N10" s="3"/>
      <c r="O10" s="8"/>
    </row>
    <row r="11" spans="1:17" ht="15.75">
      <c r="A11" s="23"/>
      <c r="B11" s="3"/>
      <c r="C11" s="3"/>
      <c r="D11" s="3"/>
      <c r="E11" s="3"/>
      <c r="F11" s="8"/>
      <c r="H11" s="23" t="s">
        <v>108</v>
      </c>
      <c r="I11" s="3"/>
      <c r="J11" s="3"/>
      <c r="K11" s="126"/>
      <c r="L11" s="142">
        <v>27</v>
      </c>
      <c r="M11" s="3" t="s">
        <v>67</v>
      </c>
      <c r="N11" s="3"/>
      <c r="O11" s="8"/>
    </row>
    <row r="12" spans="1:17" ht="15.75">
      <c r="A12" s="145" t="s">
        <v>84</v>
      </c>
      <c r="B12" s="146"/>
      <c r="C12" s="146"/>
      <c r="D12" s="12"/>
      <c r="E12" s="3"/>
      <c r="F12" s="8"/>
      <c r="H12" s="23" t="s">
        <v>109</v>
      </c>
      <c r="I12" s="3"/>
      <c r="J12" s="3"/>
      <c r="K12" s="126"/>
      <c r="L12" s="142">
        <v>38</v>
      </c>
      <c r="M12" s="3" t="s">
        <v>67</v>
      </c>
      <c r="N12" s="3"/>
      <c r="O12" s="8"/>
    </row>
    <row r="13" spans="1:17" ht="15.75">
      <c r="A13" s="23"/>
      <c r="B13" s="3"/>
      <c r="C13" s="3"/>
      <c r="D13" s="3"/>
      <c r="E13" s="3"/>
      <c r="F13" s="8"/>
      <c r="H13" s="23" t="s">
        <v>110</v>
      </c>
      <c r="I13" s="3"/>
      <c r="J13" s="3"/>
      <c r="K13" s="126"/>
      <c r="L13" s="142">
        <v>41</v>
      </c>
      <c r="M13" s="3" t="s">
        <v>67</v>
      </c>
      <c r="N13" s="3"/>
      <c r="O13" s="8"/>
    </row>
    <row r="14" spans="1:17" ht="15.75">
      <c r="A14" s="25"/>
      <c r="B14" s="26"/>
      <c r="C14" s="26"/>
      <c r="D14" s="3"/>
      <c r="E14" s="3"/>
      <c r="F14" s="8"/>
      <c r="H14" s="23" t="s">
        <v>111</v>
      </c>
      <c r="I14" s="3"/>
      <c r="J14" s="3"/>
      <c r="K14" s="126"/>
      <c r="L14" s="142">
        <v>43</v>
      </c>
      <c r="M14" s="3" t="s">
        <v>67</v>
      </c>
      <c r="N14" s="3"/>
      <c r="O14" s="8"/>
    </row>
    <row r="15" spans="1:17" ht="15.75">
      <c r="A15" s="145" t="s">
        <v>19</v>
      </c>
      <c r="B15" s="146"/>
      <c r="C15" s="146"/>
      <c r="D15" s="3"/>
      <c r="E15" s="3"/>
      <c r="F15" s="8"/>
      <c r="H15" s="23"/>
      <c r="I15" s="3"/>
      <c r="J15" s="3"/>
      <c r="K15" s="3"/>
      <c r="L15" s="3"/>
      <c r="M15" s="3"/>
      <c r="N15" s="3"/>
      <c r="O15" s="8"/>
    </row>
    <row r="16" spans="1:17" ht="15.75">
      <c r="A16" s="23"/>
      <c r="B16" s="3"/>
      <c r="C16" s="3"/>
      <c r="D16" s="3"/>
      <c r="E16" s="3"/>
      <c r="F16" s="8"/>
      <c r="H16" s="122" t="s">
        <v>103</v>
      </c>
      <c r="I16" s="3"/>
      <c r="J16" s="3"/>
      <c r="K16" s="142">
        <v>3.9</v>
      </c>
      <c r="L16" s="3" t="s">
        <v>67</v>
      </c>
      <c r="M16" s="3"/>
      <c r="N16" s="3"/>
      <c r="O16" s="8"/>
    </row>
    <row r="17" spans="1:19" ht="15.75" customHeight="1">
      <c r="A17" s="23"/>
      <c r="B17" s="3"/>
      <c r="C17" s="3"/>
      <c r="D17" s="3"/>
      <c r="E17" s="3"/>
      <c r="F17" s="8"/>
      <c r="H17" s="23"/>
      <c r="I17" s="3"/>
      <c r="J17" s="3"/>
      <c r="K17" s="3"/>
      <c r="L17" s="3"/>
      <c r="M17" s="3"/>
      <c r="N17" s="3"/>
      <c r="O17" s="8"/>
    </row>
    <row r="18" spans="1:19" ht="17.25" customHeight="1">
      <c r="A18" s="23"/>
      <c r="B18" s="3"/>
      <c r="C18" s="3"/>
      <c r="D18" s="3"/>
      <c r="E18" s="3"/>
      <c r="F18" s="8"/>
      <c r="H18" s="122" t="s">
        <v>127</v>
      </c>
      <c r="I18" s="3"/>
      <c r="J18" s="3"/>
      <c r="K18" s="142">
        <v>27.5</v>
      </c>
      <c r="L18" s="3" t="s">
        <v>67</v>
      </c>
      <c r="M18" s="3"/>
      <c r="N18" s="3"/>
      <c r="O18" s="8"/>
    </row>
    <row r="19" spans="1:19" ht="8.25" customHeight="1" thickBot="1">
      <c r="A19" s="30"/>
      <c r="B19" s="20"/>
      <c r="C19" s="20"/>
      <c r="D19" s="20"/>
      <c r="E19" s="20"/>
      <c r="F19" s="21"/>
      <c r="H19" s="30"/>
      <c r="I19" s="20"/>
      <c r="J19" s="20"/>
      <c r="K19" s="20"/>
      <c r="L19" s="20"/>
      <c r="M19" s="20"/>
      <c r="N19" s="20"/>
      <c r="O19" s="21"/>
    </row>
    <row r="20" spans="1:19" ht="13.5" customHeight="1" thickBot="1"/>
    <row r="21" spans="1:19" ht="15.75" thickBot="1">
      <c r="D21" s="31" t="s">
        <v>23</v>
      </c>
      <c r="E21" s="32" t="s">
        <v>22</v>
      </c>
      <c r="F21" s="33" t="s">
        <v>24</v>
      </c>
      <c r="H21" s="147" t="s">
        <v>106</v>
      </c>
      <c r="I21" s="148"/>
      <c r="J21" s="148"/>
      <c r="K21" s="148"/>
      <c r="L21" s="148"/>
      <c r="M21" s="148"/>
      <c r="N21" s="148"/>
      <c r="O21" s="149"/>
    </row>
    <row r="22" spans="1:19">
      <c r="A22" s="34" t="s">
        <v>20</v>
      </c>
      <c r="B22" s="35"/>
      <c r="C22" s="36"/>
      <c r="D22" s="37">
        <f>E22+F22</f>
        <v>215</v>
      </c>
      <c r="E22" s="6">
        <f>'Calcoli Titolo II'!H19+'Calcoli Titolo II'!H29+'Calcoli Titolo II'!H39+'Calcoli Titolo II'!H51+'Calcoli Titolo II'!H65+'Calcoli Titolo II'!N19+'Calcoli Titolo II'!N29+'Calcoli Titolo II'!N39+'Calcoli Titolo II'!N51+'Calcoli Titolo II'!N65</f>
        <v>175</v>
      </c>
      <c r="F22" s="38">
        <f>'Calcoli Titolo II'!R27</f>
        <v>40</v>
      </c>
      <c r="H22" s="150"/>
      <c r="I22" s="151"/>
      <c r="J22" s="151"/>
      <c r="K22" s="151"/>
      <c r="L22" s="151"/>
      <c r="M22" s="151"/>
      <c r="N22" s="151"/>
      <c r="O22" s="152"/>
    </row>
    <row r="23" spans="1:19" ht="15.75" thickBot="1">
      <c r="A23" s="42" t="s">
        <v>21</v>
      </c>
      <c r="B23" s="43"/>
      <c r="C23" s="44"/>
      <c r="D23" s="45">
        <f>E23+F23</f>
        <v>133</v>
      </c>
      <c r="E23" s="46">
        <f>'Calcoli Titolo II'!I19+'Calcoli Titolo II'!I29+'Calcoli Titolo II'!I39+'Calcoli Titolo II'!I51+'Calcoli Titolo II'!I65+'Calcoli Titolo II'!O19+'Calcoli Titolo II'!O29+'Calcoli Titolo II'!O39+'Calcoli Titolo II'!O51+'Calcoli Titolo II'!O65</f>
        <v>93</v>
      </c>
      <c r="F23" s="47">
        <f>'Calcoli Titolo II'!R27</f>
        <v>40</v>
      </c>
    </row>
    <row r="24" spans="1:19" ht="12.75" customHeight="1">
      <c r="A24" s="50"/>
      <c r="B24" s="3"/>
      <c r="C24" s="3"/>
      <c r="D24" s="51"/>
      <c r="E24" s="6"/>
      <c r="F24" s="6"/>
      <c r="S24" s="121"/>
    </row>
    <row r="25" spans="1:19" ht="12.75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7"/>
      <c r="S25" s="121"/>
    </row>
    <row r="26" spans="1:19" s="53" customFormat="1" ht="22.5" customHeight="1">
      <c r="A26" s="88" t="s">
        <v>37</v>
      </c>
      <c r="B26" s="1"/>
      <c r="C26" s="129">
        <v>1150</v>
      </c>
      <c r="D26" s="52" t="s">
        <v>70</v>
      </c>
      <c r="E26" s="82"/>
      <c r="F26" s="113" t="s">
        <v>26</v>
      </c>
      <c r="G26" s="112"/>
      <c r="H26" s="82"/>
      <c r="I26" s="82"/>
      <c r="J26" s="61"/>
      <c r="K26" s="89"/>
    </row>
    <row r="27" spans="1:19" s="57" customFormat="1" ht="15.75">
      <c r="A27" s="90" t="s">
        <v>27</v>
      </c>
      <c r="B27" s="12"/>
      <c r="C27" s="130">
        <f>$C$3*C26</f>
        <v>57500</v>
      </c>
      <c r="D27" s="101" t="s">
        <v>25</v>
      </c>
      <c r="E27" s="12"/>
      <c r="F27" s="12"/>
      <c r="G27" s="12"/>
      <c r="H27" s="12"/>
      <c r="I27" s="12"/>
      <c r="J27" s="12"/>
      <c r="K27" s="91"/>
    </row>
    <row r="28" spans="1:19" s="57" customFormat="1" ht="15.75">
      <c r="A28" s="90" t="s">
        <v>28</v>
      </c>
      <c r="B28" s="12"/>
      <c r="C28" s="129">
        <v>30000</v>
      </c>
      <c r="D28" s="101" t="s">
        <v>25</v>
      </c>
      <c r="E28" s="108" t="s">
        <v>86</v>
      </c>
      <c r="F28" s="108"/>
      <c r="G28" s="108"/>
      <c r="H28" s="108"/>
      <c r="I28" s="101"/>
      <c r="J28" s="12"/>
      <c r="K28" s="91"/>
    </row>
    <row r="29" spans="1:19" s="57" customFormat="1" ht="15.75">
      <c r="A29" s="90"/>
      <c r="B29" s="12"/>
      <c r="C29" s="131"/>
      <c r="D29" s="124"/>
      <c r="E29" s="124"/>
      <c r="F29" s="124"/>
      <c r="G29" s="124"/>
      <c r="H29" s="124"/>
      <c r="I29" s="124"/>
      <c r="J29" s="12"/>
      <c r="K29" s="91"/>
    </row>
    <row r="30" spans="1:19" s="53" customFormat="1" ht="22.5" customHeight="1">
      <c r="A30" s="88" t="s">
        <v>29</v>
      </c>
      <c r="B30" s="1"/>
      <c r="C30" s="132">
        <f>'Calcoli Titolo II'!S55</f>
        <v>15000</v>
      </c>
      <c r="D30" s="52" t="s">
        <v>25</v>
      </c>
      <c r="E30" s="61" t="s">
        <v>36</v>
      </c>
      <c r="F30" s="61"/>
      <c r="G30" s="61"/>
      <c r="H30" s="61"/>
      <c r="I30" s="52"/>
      <c r="J30" s="61"/>
      <c r="K30" s="89"/>
    </row>
    <row r="31" spans="1:19" s="57" customFormat="1" ht="15.75">
      <c r="A31" s="92" t="s">
        <v>30</v>
      </c>
      <c r="B31" s="62"/>
      <c r="C31" s="130">
        <f>IF('Calcoli Titolo II'!Q49=1,C27-C30,C27)</f>
        <v>42500</v>
      </c>
      <c r="D31" s="101" t="s">
        <v>25</v>
      </c>
      <c r="E31" s="62"/>
      <c r="F31" s="62"/>
      <c r="G31" s="62"/>
      <c r="H31" s="62"/>
      <c r="I31" s="62"/>
      <c r="J31" s="62"/>
      <c r="K31" s="91"/>
    </row>
    <row r="32" spans="1:19" s="57" customFormat="1" ht="15.75">
      <c r="A32" s="92" t="s">
        <v>31</v>
      </c>
      <c r="B32" s="12"/>
      <c r="C32" s="130">
        <f>IF('Calcoli Titolo II'!Q49=1,C28-C30,0)</f>
        <v>15000</v>
      </c>
      <c r="D32" s="101" t="s">
        <v>25</v>
      </c>
      <c r="E32" s="12"/>
      <c r="F32" s="12"/>
      <c r="G32" s="12"/>
      <c r="H32" s="12"/>
      <c r="I32" s="12"/>
      <c r="J32" s="12"/>
      <c r="K32" s="91"/>
    </row>
    <row r="33" spans="1:24" s="57" customFormat="1" ht="15.75">
      <c r="A33" s="92"/>
      <c r="B33" s="12"/>
      <c r="C33" s="125"/>
      <c r="D33" s="101"/>
      <c r="E33" s="12"/>
      <c r="F33" s="12"/>
      <c r="G33" s="12"/>
      <c r="H33" s="12"/>
      <c r="I33" s="12"/>
      <c r="J33" s="12"/>
      <c r="K33" s="91"/>
    </row>
    <row r="34" spans="1:24" s="57" customFormat="1" ht="15.75">
      <c r="A34" s="92" t="s">
        <v>32</v>
      </c>
      <c r="B34" s="12"/>
      <c r="C34" s="129">
        <v>1836</v>
      </c>
      <c r="D34" s="101" t="s">
        <v>33</v>
      </c>
      <c r="E34" s="83" t="s">
        <v>124</v>
      </c>
      <c r="F34" s="84"/>
      <c r="G34" s="137"/>
      <c r="H34" s="153">
        <f>C34*C3</f>
        <v>91800</v>
      </c>
      <c r="I34" s="153"/>
      <c r="J34" s="138"/>
      <c r="K34" s="91"/>
    </row>
    <row r="35" spans="1:24" s="57" customFormat="1" ht="15.75">
      <c r="A35" s="92" t="s">
        <v>34</v>
      </c>
      <c r="B35" s="12"/>
      <c r="C35" s="129">
        <v>250</v>
      </c>
      <c r="D35" s="101" t="s">
        <v>33</v>
      </c>
      <c r="E35" s="83" t="s">
        <v>125</v>
      </c>
      <c r="F35" s="84"/>
      <c r="G35" s="137"/>
      <c r="H35" s="143">
        <f>C39+C40</f>
        <v>24490</v>
      </c>
      <c r="I35" s="143"/>
      <c r="J35" s="138"/>
      <c r="K35" s="91"/>
    </row>
    <row r="36" spans="1:24" s="57" customFormat="1" ht="15.75">
      <c r="A36" s="92" t="s">
        <v>92</v>
      </c>
      <c r="B36" s="12"/>
      <c r="C36" s="133">
        <v>2</v>
      </c>
      <c r="D36" s="101" t="s">
        <v>67</v>
      </c>
      <c r="E36" s="12"/>
      <c r="F36" s="83" t="s">
        <v>126</v>
      </c>
      <c r="G36" s="84"/>
      <c r="H36" s="144">
        <f>SUM(H34:I35)</f>
        <v>116290</v>
      </c>
      <c r="I36" s="144"/>
      <c r="J36" s="139"/>
      <c r="K36" s="91"/>
    </row>
    <row r="37" spans="1:24" s="57" customFormat="1" ht="15.75">
      <c r="A37" s="92" t="s">
        <v>87</v>
      </c>
      <c r="B37" s="12"/>
      <c r="C37" s="134">
        <f>IF(C3&lt;20,C3*3,60+((C3-20)*2))</f>
        <v>120</v>
      </c>
      <c r="D37" s="101" t="s">
        <v>33</v>
      </c>
      <c r="E37" s="12"/>
      <c r="F37" s="12"/>
      <c r="G37" s="12"/>
      <c r="H37" s="12"/>
      <c r="I37" s="12"/>
      <c r="J37" s="12"/>
      <c r="K37" s="91"/>
    </row>
    <row r="38" spans="1:24" s="57" customFormat="1" ht="15.75">
      <c r="A38" s="92" t="s">
        <v>88</v>
      </c>
      <c r="B38" s="12"/>
      <c r="C38" s="135">
        <f>0.0005*C27</f>
        <v>28.75</v>
      </c>
      <c r="D38" s="101" t="s">
        <v>33</v>
      </c>
      <c r="E38" s="12"/>
      <c r="F38" s="12"/>
      <c r="G38" s="12"/>
      <c r="H38" s="12"/>
      <c r="I38" s="12"/>
      <c r="J38" s="12"/>
      <c r="K38" s="91"/>
    </row>
    <row r="39" spans="1:24" s="57" customFormat="1" ht="15.75">
      <c r="A39" s="92" t="s">
        <v>90</v>
      </c>
      <c r="B39" s="12"/>
      <c r="C39" s="129">
        <v>24240</v>
      </c>
      <c r="D39" s="101" t="s">
        <v>33</v>
      </c>
      <c r="E39" s="62" t="s">
        <v>133</v>
      </c>
      <c r="F39" s="12"/>
      <c r="G39" s="12"/>
      <c r="H39" s="12"/>
      <c r="I39" s="12"/>
      <c r="J39" s="12"/>
      <c r="K39" s="91"/>
    </row>
    <row r="40" spans="1:24" s="57" customFormat="1" ht="15.75">
      <c r="A40" s="92" t="s">
        <v>38</v>
      </c>
      <c r="B40" s="12"/>
      <c r="C40" s="129">
        <v>250</v>
      </c>
      <c r="D40" s="101" t="s">
        <v>33</v>
      </c>
      <c r="E40" s="12"/>
      <c r="F40" s="12"/>
      <c r="G40" s="12"/>
      <c r="H40" s="12"/>
      <c r="I40" s="12"/>
      <c r="J40" s="12"/>
      <c r="K40" s="91"/>
    </row>
    <row r="41" spans="1:24" s="57" customFormat="1" ht="15.75">
      <c r="A41" s="92" t="s">
        <v>35</v>
      </c>
      <c r="B41" s="12"/>
      <c r="C41" s="136">
        <v>0.18</v>
      </c>
      <c r="D41" s="101" t="s">
        <v>33</v>
      </c>
      <c r="E41" s="12"/>
      <c r="F41" s="12"/>
      <c r="G41" s="12"/>
      <c r="H41" s="12"/>
      <c r="I41" s="12"/>
      <c r="J41" s="12"/>
      <c r="K41" s="91"/>
    </row>
    <row r="42" spans="1:24" s="57" customFormat="1" ht="15.75">
      <c r="A42" s="92" t="s">
        <v>91</v>
      </c>
      <c r="B42" s="12"/>
      <c r="C42" s="133">
        <v>0.9</v>
      </c>
      <c r="D42" s="101" t="s">
        <v>67</v>
      </c>
      <c r="E42" s="62" t="s">
        <v>123</v>
      </c>
      <c r="F42" s="12"/>
      <c r="G42" s="12"/>
      <c r="H42" s="12"/>
      <c r="I42" s="12"/>
      <c r="J42" s="12"/>
      <c r="K42" s="91"/>
    </row>
    <row r="43" spans="1:24" s="57" customFormat="1" ht="15.75">
      <c r="A43" s="92" t="s">
        <v>68</v>
      </c>
      <c r="B43" s="12"/>
      <c r="C43" s="133">
        <v>6</v>
      </c>
      <c r="D43" s="101" t="s">
        <v>67</v>
      </c>
      <c r="E43" s="62" t="s">
        <v>93</v>
      </c>
      <c r="F43" s="12"/>
      <c r="G43" s="12"/>
      <c r="H43" s="12"/>
      <c r="I43" s="12"/>
      <c r="J43" s="12"/>
      <c r="K43" s="91"/>
    </row>
    <row r="44" spans="1:24" s="57" customFormat="1" ht="9" customHeight="1">
      <c r="A44" s="93"/>
      <c r="B44" s="94"/>
      <c r="C44" s="110"/>
      <c r="D44" s="95"/>
      <c r="E44" s="109"/>
      <c r="F44" s="94"/>
      <c r="G44" s="94"/>
      <c r="H44" s="94"/>
      <c r="I44" s="94"/>
      <c r="J44" s="94"/>
      <c r="K44" s="96"/>
    </row>
    <row r="46" spans="1:24">
      <c r="A46" s="69"/>
      <c r="B46" s="69"/>
      <c r="C46" s="69"/>
      <c r="D46" s="69"/>
      <c r="E46" s="72" t="s">
        <v>45</v>
      </c>
      <c r="F46" s="72" t="s">
        <v>48</v>
      </c>
      <c r="G46" s="72" t="s">
        <v>49</v>
      </c>
      <c r="H46" s="72" t="s">
        <v>50</v>
      </c>
      <c r="I46" s="72" t="s">
        <v>51</v>
      </c>
      <c r="J46" s="72" t="s">
        <v>52</v>
      </c>
      <c r="K46" s="72" t="s">
        <v>53</v>
      </c>
      <c r="L46" s="72" t="s">
        <v>54</v>
      </c>
      <c r="M46" s="72" t="s">
        <v>55</v>
      </c>
      <c r="N46" s="72" t="s">
        <v>56</v>
      </c>
      <c r="O46" s="72" t="s">
        <v>57</v>
      </c>
      <c r="P46" s="72" t="s">
        <v>58</v>
      </c>
      <c r="Q46" s="72" t="s">
        <v>59</v>
      </c>
      <c r="R46" s="72" t="s">
        <v>60</v>
      </c>
      <c r="S46" s="72" t="s">
        <v>61</v>
      </c>
      <c r="T46" s="72" t="s">
        <v>62</v>
      </c>
      <c r="U46" s="72" t="s">
        <v>63</v>
      </c>
      <c r="V46" s="72" t="s">
        <v>64</v>
      </c>
      <c r="W46" s="72" t="s">
        <v>65</v>
      </c>
      <c r="X46" s="72" t="s">
        <v>66</v>
      </c>
    </row>
    <row r="47" spans="1:24">
      <c r="A47" s="69"/>
      <c r="B47" s="69"/>
      <c r="C47" s="69"/>
      <c r="D47" s="69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</row>
    <row r="48" spans="1:24" ht="15.75">
      <c r="A48" s="71" t="s">
        <v>112</v>
      </c>
      <c r="B48" s="69"/>
      <c r="C48" s="69"/>
      <c r="D48" s="69"/>
      <c r="E48" s="74">
        <f>C27</f>
        <v>57500</v>
      </c>
      <c r="F48" s="74">
        <f t="shared" ref="F48:X48" si="0">E48/100*(100-$C$42)</f>
        <v>56982.5</v>
      </c>
      <c r="G48" s="74">
        <f t="shared" si="0"/>
        <v>56469.657500000001</v>
      </c>
      <c r="H48" s="74">
        <f>G48/100*(100-$C$42)</f>
        <v>55961.430582500005</v>
      </c>
      <c r="I48" s="74">
        <f t="shared" si="0"/>
        <v>55457.777707257505</v>
      </c>
      <c r="J48" s="74">
        <f t="shared" si="0"/>
        <v>54958.657707892184</v>
      </c>
      <c r="K48" s="74">
        <f t="shared" si="0"/>
        <v>54464.029788521155</v>
      </c>
      <c r="L48" s="74">
        <f t="shared" si="0"/>
        <v>53973.853520424462</v>
      </c>
      <c r="M48" s="74">
        <f t="shared" si="0"/>
        <v>53488.088838740638</v>
      </c>
      <c r="N48" s="74">
        <f t="shared" si="0"/>
        <v>53006.696039191964</v>
      </c>
      <c r="O48" s="74">
        <f t="shared" si="0"/>
        <v>52529.63577483924</v>
      </c>
      <c r="P48" s="74">
        <f t="shared" si="0"/>
        <v>52056.869052865688</v>
      </c>
      <c r="Q48" s="74">
        <f t="shared" si="0"/>
        <v>51588.357231389899</v>
      </c>
      <c r="R48" s="74">
        <f t="shared" si="0"/>
        <v>51124.062016307384</v>
      </c>
      <c r="S48" s="74">
        <f t="shared" si="0"/>
        <v>50663.945458160619</v>
      </c>
      <c r="T48" s="74">
        <f t="shared" si="0"/>
        <v>50207.969949037171</v>
      </c>
      <c r="U48" s="74">
        <f t="shared" si="0"/>
        <v>49756.098219495834</v>
      </c>
      <c r="V48" s="74">
        <f t="shared" si="0"/>
        <v>49308.293335520371</v>
      </c>
      <c r="W48" s="74">
        <f t="shared" si="0"/>
        <v>48864.518695500687</v>
      </c>
      <c r="X48" s="74">
        <f t="shared" si="0"/>
        <v>48424.738027241176</v>
      </c>
    </row>
    <row r="49" spans="1:25" ht="15.75">
      <c r="A49" s="71" t="s">
        <v>29</v>
      </c>
      <c r="B49" s="69"/>
      <c r="C49" s="69"/>
      <c r="D49" s="69"/>
      <c r="E49" s="74">
        <f>$C$30</f>
        <v>15000</v>
      </c>
      <c r="F49" s="74">
        <f t="shared" ref="F49:X49" si="1">E49+(E49/100*$C$36)</f>
        <v>15300</v>
      </c>
      <c r="G49" s="74">
        <f t="shared" si="1"/>
        <v>15606</v>
      </c>
      <c r="H49" s="74">
        <f>G49+(G49/100*$C$36)</f>
        <v>15918.12</v>
      </c>
      <c r="I49" s="74">
        <f t="shared" si="1"/>
        <v>16236.482400000001</v>
      </c>
      <c r="J49" s="74">
        <f t="shared" si="1"/>
        <v>16561.212048000001</v>
      </c>
      <c r="K49" s="74">
        <f t="shared" si="1"/>
        <v>16892.436288960002</v>
      </c>
      <c r="L49" s="74">
        <f t="shared" si="1"/>
        <v>17230.285014739202</v>
      </c>
      <c r="M49" s="74">
        <f t="shared" si="1"/>
        <v>17574.890715033987</v>
      </c>
      <c r="N49" s="74">
        <f t="shared" si="1"/>
        <v>17926.388529334668</v>
      </c>
      <c r="O49" s="74">
        <f t="shared" si="1"/>
        <v>18284.916299921362</v>
      </c>
      <c r="P49" s="74">
        <f t="shared" si="1"/>
        <v>18650.614625919789</v>
      </c>
      <c r="Q49" s="74">
        <f t="shared" si="1"/>
        <v>19023.626918438185</v>
      </c>
      <c r="R49" s="74">
        <f t="shared" si="1"/>
        <v>19404.099456806951</v>
      </c>
      <c r="S49" s="74">
        <f t="shared" si="1"/>
        <v>19792.18144594309</v>
      </c>
      <c r="T49" s="74">
        <f t="shared" si="1"/>
        <v>20188.025074861951</v>
      </c>
      <c r="U49" s="74">
        <f t="shared" si="1"/>
        <v>20591.785576359191</v>
      </c>
      <c r="V49" s="74">
        <f t="shared" si="1"/>
        <v>21003.621287886373</v>
      </c>
      <c r="W49" s="74">
        <f t="shared" si="1"/>
        <v>21423.693713644101</v>
      </c>
      <c r="X49" s="74">
        <f t="shared" si="1"/>
        <v>21852.167587916982</v>
      </c>
    </row>
    <row r="50" spans="1:25" ht="15.75">
      <c r="A50" s="71" t="s">
        <v>39</v>
      </c>
      <c r="B50" s="69"/>
      <c r="C50" s="69"/>
      <c r="D50" s="69"/>
      <c r="E50" s="74">
        <f>E48-E49</f>
        <v>42500</v>
      </c>
      <c r="F50" s="74">
        <f t="shared" ref="F50:X50" si="2">F48-F49</f>
        <v>41682.5</v>
      </c>
      <c r="G50" s="74">
        <f t="shared" si="2"/>
        <v>40863.657500000001</v>
      </c>
      <c r="H50" s="74">
        <f t="shared" si="2"/>
        <v>40043.310582500002</v>
      </c>
      <c r="I50" s="74">
        <f t="shared" si="2"/>
        <v>39221.295307257504</v>
      </c>
      <c r="J50" s="74">
        <f t="shared" si="2"/>
        <v>38397.445659892182</v>
      </c>
      <c r="K50" s="74">
        <f t="shared" si="2"/>
        <v>37571.593499561153</v>
      </c>
      <c r="L50" s="74">
        <f t="shared" si="2"/>
        <v>36743.56850568526</v>
      </c>
      <c r="M50" s="74">
        <f t="shared" si="2"/>
        <v>35913.19812370665</v>
      </c>
      <c r="N50" s="74">
        <f t="shared" si="2"/>
        <v>35080.307509857295</v>
      </c>
      <c r="O50" s="74">
        <f t="shared" si="2"/>
        <v>34244.719474917874</v>
      </c>
      <c r="P50" s="74">
        <f t="shared" si="2"/>
        <v>33406.254426945903</v>
      </c>
      <c r="Q50" s="74">
        <f t="shared" si="2"/>
        <v>32564.730312951713</v>
      </c>
      <c r="R50" s="74">
        <f t="shared" si="2"/>
        <v>31719.962559500433</v>
      </c>
      <c r="S50" s="74">
        <f t="shared" si="2"/>
        <v>30871.764012217529</v>
      </c>
      <c r="T50" s="74">
        <f t="shared" si="2"/>
        <v>30019.94487417522</v>
      </c>
      <c r="U50" s="74">
        <f t="shared" si="2"/>
        <v>29164.312643136644</v>
      </c>
      <c r="V50" s="74">
        <f t="shared" si="2"/>
        <v>28304.672047633998</v>
      </c>
      <c r="W50" s="74">
        <f t="shared" si="2"/>
        <v>27440.824981856586</v>
      </c>
      <c r="X50" s="74">
        <f t="shared" si="2"/>
        <v>26572.570439324194</v>
      </c>
    </row>
    <row r="51" spans="1:25" ht="11.25" customHeight="1">
      <c r="A51" s="71"/>
      <c r="B51" s="69"/>
      <c r="C51" s="69"/>
      <c r="D51" s="69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</row>
    <row r="52" spans="1:25" ht="15.75">
      <c r="A52" s="71" t="s">
        <v>40</v>
      </c>
      <c r="B52" s="69"/>
      <c r="C52" s="69"/>
      <c r="D52" s="69"/>
      <c r="E52" s="75">
        <f>$D$22*E50/1000</f>
        <v>9137.5</v>
      </c>
      <c r="F52" s="75">
        <f t="shared" ref="F52:X52" si="3">$D$22*F50/1000</f>
        <v>8961.7374999999993</v>
      </c>
      <c r="G52" s="75">
        <f t="shared" si="3"/>
        <v>8785.6863625000005</v>
      </c>
      <c r="H52" s="75">
        <f t="shared" si="3"/>
        <v>8609.3117752375001</v>
      </c>
      <c r="I52" s="75">
        <f t="shared" si="3"/>
        <v>8432.5784910603634</v>
      </c>
      <c r="J52" s="75">
        <f t="shared" si="3"/>
        <v>8255.4508168768189</v>
      </c>
      <c r="K52" s="75">
        <f t="shared" si="3"/>
        <v>8077.8926024056482</v>
      </c>
      <c r="L52" s="75">
        <f t="shared" si="3"/>
        <v>7899.8672287223308</v>
      </c>
      <c r="M52" s="75">
        <f t="shared" si="3"/>
        <v>7721.3375965969299</v>
      </c>
      <c r="N52" s="75">
        <f t="shared" si="3"/>
        <v>7542.2661146193186</v>
      </c>
      <c r="O52" s="75">
        <f t="shared" si="3"/>
        <v>7362.6146871073433</v>
      </c>
      <c r="P52" s="75">
        <f t="shared" si="3"/>
        <v>7182.3447017933686</v>
      </c>
      <c r="Q52" s="75">
        <f t="shared" si="3"/>
        <v>7001.4170172846189</v>
      </c>
      <c r="R52" s="75">
        <f t="shared" si="3"/>
        <v>6819.7919502925924</v>
      </c>
      <c r="S52" s="75">
        <f t="shared" si="3"/>
        <v>6637.4292626267688</v>
      </c>
      <c r="T52" s="75">
        <f t="shared" si="3"/>
        <v>6454.2881479476728</v>
      </c>
      <c r="U52" s="75">
        <f t="shared" si="3"/>
        <v>6270.3272182743785</v>
      </c>
      <c r="V52" s="75">
        <f t="shared" si="3"/>
        <v>6085.5044902413092</v>
      </c>
      <c r="W52" s="75">
        <f t="shared" si="3"/>
        <v>5899.777371099166</v>
      </c>
      <c r="X52" s="75">
        <f t="shared" si="3"/>
        <v>5713.1026444547015</v>
      </c>
    </row>
    <row r="53" spans="1:25" ht="15.75">
      <c r="A53" s="71" t="s">
        <v>41</v>
      </c>
      <c r="B53" s="69"/>
      <c r="C53" s="69"/>
      <c r="D53" s="69"/>
      <c r="E53" s="75">
        <f>$D$23*E49/1000</f>
        <v>1995</v>
      </c>
      <c r="F53" s="75">
        <f t="shared" ref="F53:X53" si="4">$D$23*F49/1000</f>
        <v>2034.9</v>
      </c>
      <c r="G53" s="75">
        <f t="shared" si="4"/>
        <v>2075.598</v>
      </c>
      <c r="H53" s="75">
        <f t="shared" si="4"/>
        <v>2117.1099599999998</v>
      </c>
      <c r="I53" s="75">
        <f t="shared" si="4"/>
        <v>2159.4521592000001</v>
      </c>
      <c r="J53" s="75">
        <f t="shared" si="4"/>
        <v>2202.6412023840003</v>
      </c>
      <c r="K53" s="75">
        <f t="shared" si="4"/>
        <v>2246.6940264316804</v>
      </c>
      <c r="L53" s="75">
        <f t="shared" si="4"/>
        <v>2291.6279069603138</v>
      </c>
      <c r="M53" s="75">
        <f t="shared" si="4"/>
        <v>2337.4604650995207</v>
      </c>
      <c r="N53" s="75">
        <f t="shared" si="4"/>
        <v>2384.2096744015112</v>
      </c>
      <c r="O53" s="75">
        <f t="shared" si="4"/>
        <v>2431.8938678895411</v>
      </c>
      <c r="P53" s="75">
        <f t="shared" si="4"/>
        <v>2480.5317452473319</v>
      </c>
      <c r="Q53" s="75">
        <f t="shared" si="4"/>
        <v>2530.1423801522787</v>
      </c>
      <c r="R53" s="75">
        <f t="shared" si="4"/>
        <v>2580.7452277553243</v>
      </c>
      <c r="S53" s="75">
        <f t="shared" si="4"/>
        <v>2632.3601323104308</v>
      </c>
      <c r="T53" s="75">
        <f t="shared" si="4"/>
        <v>2685.0073349566396</v>
      </c>
      <c r="U53" s="75">
        <f t="shared" si="4"/>
        <v>2738.7074816557724</v>
      </c>
      <c r="V53" s="75">
        <f t="shared" si="4"/>
        <v>2793.4816312888875</v>
      </c>
      <c r="W53" s="75">
        <f t="shared" si="4"/>
        <v>2849.3512639146657</v>
      </c>
      <c r="X53" s="75">
        <f t="shared" si="4"/>
        <v>2906.3382891929587</v>
      </c>
    </row>
    <row r="54" spans="1:25" ht="15.75">
      <c r="A54" s="71" t="s">
        <v>42</v>
      </c>
      <c r="B54" s="69"/>
      <c r="C54" s="69"/>
      <c r="D54" s="69"/>
      <c r="E54" s="75">
        <f>E49*C41</f>
        <v>2700</v>
      </c>
      <c r="F54" s="75">
        <f t="shared" ref="F54:X54" si="5">($C$41*F49)+(($C$41*F49)/100*$C$43)</f>
        <v>2919.24</v>
      </c>
      <c r="G54" s="75">
        <f t="shared" si="5"/>
        <v>2977.6248000000001</v>
      </c>
      <c r="H54" s="75">
        <f t="shared" si="5"/>
        <v>3037.1772959999998</v>
      </c>
      <c r="I54" s="75">
        <f t="shared" si="5"/>
        <v>3097.9208419199999</v>
      </c>
      <c r="J54" s="75">
        <f t="shared" si="5"/>
        <v>3159.8792587584003</v>
      </c>
      <c r="K54" s="75">
        <f t="shared" si="5"/>
        <v>3223.0768439335679</v>
      </c>
      <c r="L54" s="75">
        <f t="shared" si="5"/>
        <v>3287.5383808122397</v>
      </c>
      <c r="M54" s="75">
        <f t="shared" si="5"/>
        <v>3353.2891484284846</v>
      </c>
      <c r="N54" s="75">
        <f t="shared" si="5"/>
        <v>3420.3549313970548</v>
      </c>
      <c r="O54" s="75">
        <f t="shared" si="5"/>
        <v>3488.7620300249955</v>
      </c>
      <c r="P54" s="75">
        <f t="shared" si="5"/>
        <v>3558.5372706254957</v>
      </c>
      <c r="Q54" s="75">
        <f t="shared" si="5"/>
        <v>3629.7080160380056</v>
      </c>
      <c r="R54" s="75">
        <f t="shared" si="5"/>
        <v>3702.3021763587662</v>
      </c>
      <c r="S54" s="75">
        <f t="shared" si="5"/>
        <v>3776.3482198859415</v>
      </c>
      <c r="T54" s="75">
        <f t="shared" si="5"/>
        <v>3851.87518428366</v>
      </c>
      <c r="U54" s="75">
        <f t="shared" si="5"/>
        <v>3928.9126879693331</v>
      </c>
      <c r="V54" s="75">
        <f t="shared" si="5"/>
        <v>4007.4909417287199</v>
      </c>
      <c r="W54" s="75">
        <f t="shared" si="5"/>
        <v>4087.6407605632944</v>
      </c>
      <c r="X54" s="75">
        <f t="shared" si="5"/>
        <v>4169.3935757745603</v>
      </c>
    </row>
    <row r="55" spans="1:25" ht="15.75">
      <c r="A55" s="71" t="s">
        <v>43</v>
      </c>
      <c r="B55" s="69"/>
      <c r="C55" s="69"/>
      <c r="D55" s="69"/>
      <c r="E55" s="76">
        <f>SUM(E52:E54)</f>
        <v>13832.5</v>
      </c>
      <c r="F55" s="76">
        <f t="shared" ref="F55:X55" si="6">SUM(F52:F54)</f>
        <v>13915.877499999999</v>
      </c>
      <c r="G55" s="76">
        <f t="shared" si="6"/>
        <v>13838.9091625</v>
      </c>
      <c r="H55" s="76">
        <f t="shared" si="6"/>
        <v>13763.5990312375</v>
      </c>
      <c r="I55" s="76">
        <f t="shared" si="6"/>
        <v>13689.951492180364</v>
      </c>
      <c r="J55" s="76">
        <f t="shared" si="6"/>
        <v>13617.97127801922</v>
      </c>
      <c r="K55" s="76">
        <f t="shared" si="6"/>
        <v>13547.663472770897</v>
      </c>
      <c r="L55" s="76">
        <f t="shared" si="6"/>
        <v>13479.033516494885</v>
      </c>
      <c r="M55" s="76">
        <f t="shared" si="6"/>
        <v>13412.087210124935</v>
      </c>
      <c r="N55" s="76">
        <f t="shared" si="6"/>
        <v>13346.830720417884</v>
      </c>
      <c r="O55" s="76">
        <f t="shared" si="6"/>
        <v>13283.270585021881</v>
      </c>
      <c r="P55" s="76">
        <f t="shared" si="6"/>
        <v>13221.413717666197</v>
      </c>
      <c r="Q55" s="76">
        <f t="shared" si="6"/>
        <v>13161.267413474903</v>
      </c>
      <c r="R55" s="76">
        <f t="shared" si="6"/>
        <v>13102.839354406682</v>
      </c>
      <c r="S55" s="76">
        <f t="shared" si="6"/>
        <v>13046.137614823141</v>
      </c>
      <c r="T55" s="76">
        <f t="shared" si="6"/>
        <v>12991.170667187973</v>
      </c>
      <c r="U55" s="76">
        <f t="shared" si="6"/>
        <v>12937.947387899483</v>
      </c>
      <c r="V55" s="76">
        <f t="shared" si="6"/>
        <v>12886.477063258917</v>
      </c>
      <c r="W55" s="76">
        <f t="shared" si="6"/>
        <v>12836.769395577126</v>
      </c>
      <c r="X55" s="76">
        <f t="shared" si="6"/>
        <v>12788.83450942222</v>
      </c>
    </row>
    <row r="56" spans="1:25" ht="11.25" customHeight="1">
      <c r="A56" s="71"/>
      <c r="B56" s="69"/>
      <c r="C56" s="69"/>
      <c r="D56" s="69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</row>
    <row r="57" spans="1:25" ht="15.75">
      <c r="A57" s="71" t="s">
        <v>100</v>
      </c>
      <c r="B57" s="69"/>
      <c r="C57" s="69"/>
      <c r="D57" s="69"/>
      <c r="E57" s="75">
        <f>'Calcoli Titolo II'!D87</f>
        <v>4131</v>
      </c>
      <c r="F57" s="75">
        <f>'Calcoli Titolo II'!E87</f>
        <v>8262</v>
      </c>
      <c r="G57" s="75">
        <f>'Calcoli Titolo II'!F87</f>
        <v>8262</v>
      </c>
      <c r="H57" s="75">
        <f>'Calcoli Titolo II'!G87</f>
        <v>8262</v>
      </c>
      <c r="I57" s="75">
        <f>'Calcoli Titolo II'!H87</f>
        <v>8262</v>
      </c>
      <c r="J57" s="75">
        <f>'Calcoli Titolo II'!I87</f>
        <v>8262</v>
      </c>
      <c r="K57" s="75">
        <f>'Calcoli Titolo II'!J87</f>
        <v>8262</v>
      </c>
      <c r="L57" s="75">
        <f>'Calcoli Titolo II'!K87</f>
        <v>8262</v>
      </c>
      <c r="M57" s="75">
        <f>'Calcoli Titolo II'!L87</f>
        <v>8262</v>
      </c>
      <c r="N57" s="75">
        <f>'Calcoli Titolo II'!M87</f>
        <v>8262</v>
      </c>
      <c r="O57" s="75">
        <f>'Calcoli Titolo II'!N87</f>
        <v>8262</v>
      </c>
      <c r="P57" s="75">
        <f>'Calcoli Titolo II'!O87</f>
        <v>5049</v>
      </c>
      <c r="Q57" s="75">
        <f>'Calcoli Titolo II'!P87</f>
        <v>0</v>
      </c>
      <c r="R57" s="75">
        <f>'Calcoli Titolo II'!Q87</f>
        <v>0</v>
      </c>
      <c r="S57" s="75">
        <f>'Calcoli Titolo II'!R87</f>
        <v>0</v>
      </c>
      <c r="T57" s="75">
        <f>'Calcoli Titolo II'!S87</f>
        <v>0</v>
      </c>
      <c r="U57" s="75">
        <f>'Calcoli Titolo II'!T87</f>
        <v>0</v>
      </c>
      <c r="V57" s="75">
        <f>'Calcoli Titolo II'!U87</f>
        <v>0</v>
      </c>
      <c r="W57" s="75">
        <f>'Calcoli Titolo II'!V87</f>
        <v>0</v>
      </c>
      <c r="X57" s="75">
        <f>'Calcoli Titolo II'!W87</f>
        <v>0</v>
      </c>
    </row>
    <row r="58" spans="1:25" ht="15.75">
      <c r="A58" s="71" t="s">
        <v>132</v>
      </c>
      <c r="B58" s="69"/>
      <c r="C58" s="69"/>
      <c r="D58" s="69"/>
      <c r="E58" s="123">
        <f>IF('Calcoli Titolo II'!D67&gt;0,'Calcoli Titolo II'!D67,0)</f>
        <v>7001.5</v>
      </c>
      <c r="F58" s="123">
        <f>IF('Calcoli Titolo II'!E67&gt;0,'Calcoli Titolo II'!E67,0)</f>
        <v>2734.6374999999989</v>
      </c>
      <c r="G58" s="123">
        <f>IF('Calcoli Titolo II'!F67&gt;0,'Calcoli Titolo II'!F67,0)</f>
        <v>2599.2843625000005</v>
      </c>
      <c r="H58" s="123">
        <f>IF('Calcoli Titolo II'!G67&gt;0,'Calcoli Titolo II'!G67,0)</f>
        <v>2464.4217352374999</v>
      </c>
      <c r="I58" s="123">
        <f>IF('Calcoli Titolo II'!H67&gt;0,'Calcoli Titolo II'!H67,0)</f>
        <v>2330.0306502603635</v>
      </c>
      <c r="J58" s="123">
        <f>IF('Calcoli Titolo II'!I67&gt;0,'Calcoli Titolo II'!I67,0)</f>
        <v>2196.0920192608191</v>
      </c>
      <c r="K58" s="123">
        <f>IF('Calcoli Titolo II'!J67&gt;0,'Calcoli Titolo II'!J67,0)</f>
        <v>2062.586628837329</v>
      </c>
      <c r="L58" s="123">
        <f>IF('Calcoli Titolo II'!K67&gt;0,'Calcoli Titolo II'!K67,0)</f>
        <v>1929.4951356826441</v>
      </c>
      <c r="M58" s="123">
        <f>IF('Calcoli Titolo II'!L67&gt;0,'Calcoli Titolo II'!L67,0)</f>
        <v>1796.7980616964505</v>
      </c>
      <c r="N58" s="123">
        <f>IF('Calcoli Titolo II'!M67&gt;0,'Calcoli Titolo II'!M67,0)</f>
        <v>1664.4757890208293</v>
      </c>
      <c r="O58" s="123">
        <f>IF('Calcoli Titolo II'!N67&gt;0,'Calcoli Titolo II'!N67,0)</f>
        <v>1532.5085549968844</v>
      </c>
      <c r="P58" s="123">
        <f>IF('Calcoli Titolo II'!O67&gt;0,'Calcoli Titolo II'!O67,0)</f>
        <v>4613.8764470407004</v>
      </c>
      <c r="Q58" s="123">
        <f>IF('Calcoli Titolo II'!P67&gt;0,'Calcoli Titolo II'!P67,0)</f>
        <v>9531.5593974368967</v>
      </c>
      <c r="R58" s="123">
        <f>IF('Calcoli Titolo II'!Q67&gt;0,'Calcoli Titolo II'!Q67,0)</f>
        <v>9400.5371780479163</v>
      </c>
      <c r="S58" s="123">
        <f>IF('Calcoli Titolo II'!R67&gt;0,'Calcoli Titolo II'!R67,0)</f>
        <v>9269.7893949371992</v>
      </c>
      <c r="T58" s="123">
        <f>IF('Calcoli Titolo II'!S67&gt;0,'Calcoli Titolo II'!S67,0)</f>
        <v>9139.2954829043119</v>
      </c>
      <c r="U58" s="123">
        <f>IF('Calcoli Titolo II'!T67&gt;0,'Calcoli Titolo II'!T67,0)</f>
        <v>9009.034699930151</v>
      </c>
      <c r="V58" s="123">
        <f>IF('Calcoli Titolo II'!U67&gt;0,'Calcoli Titolo II'!U67,0)</f>
        <v>8878.9861215301971</v>
      </c>
      <c r="W58" s="123">
        <f>IF('Calcoli Titolo II'!V67&gt;0,'Calcoli Titolo II'!V67,0)</f>
        <v>8749.1286350138325</v>
      </c>
      <c r="X58" s="123">
        <f>IF('Calcoli Titolo II'!W67&gt;0,'Calcoli Titolo II'!W67,0)</f>
        <v>8619.4409336476601</v>
      </c>
    </row>
    <row r="59" spans="1:25" ht="15.75">
      <c r="A59" s="71" t="s">
        <v>98</v>
      </c>
      <c r="B59" s="69"/>
      <c r="C59" s="69"/>
      <c r="D59" s="69"/>
      <c r="E59" s="75">
        <f>IF('Calcoli Titolo II'!$D$116=TRUE,'Calcoli Titolo II'!D109,0)</f>
        <v>0</v>
      </c>
      <c r="F59" s="75">
        <f>IF('Calcoli Titolo II'!$D$116=TRUE,'Calcoli Titolo II'!E109,0)</f>
        <v>0</v>
      </c>
      <c r="G59" s="75">
        <f>IF('Calcoli Titolo II'!$D$116=TRUE,'Calcoli Titolo II'!F109,0)</f>
        <v>0</v>
      </c>
      <c r="H59" s="75">
        <f>IF('Calcoli Titolo II'!$D$116=TRUE,'Calcoli Titolo II'!G109,0)</f>
        <v>0</v>
      </c>
      <c r="I59" s="75">
        <f>IF('Calcoli Titolo II'!$D$116=TRUE,'Calcoli Titolo II'!H109,0)</f>
        <v>0</v>
      </c>
      <c r="J59" s="75">
        <f>IF('Calcoli Titolo II'!$D$116=TRUE,'Calcoli Titolo II'!I109,0)</f>
        <v>0</v>
      </c>
      <c r="K59" s="75">
        <f>IF('Calcoli Titolo II'!$D$116=TRUE,'Calcoli Titolo II'!J109,0)</f>
        <v>0</v>
      </c>
      <c r="L59" s="75">
        <f>IF('Calcoli Titolo II'!$D$116=TRUE,'Calcoli Titolo II'!K109,0)</f>
        <v>0</v>
      </c>
      <c r="M59" s="75">
        <f>IF('Calcoli Titolo II'!$D$116=TRUE,'Calcoli Titolo II'!L109,0)</f>
        <v>0</v>
      </c>
      <c r="N59" s="75">
        <f>IF('Calcoli Titolo II'!$D$116=TRUE,'Calcoli Titolo II'!M109,0)</f>
        <v>0</v>
      </c>
      <c r="O59" s="75">
        <f>IF('Calcoli Titolo II'!$D$116=TRUE,'Calcoli Titolo II'!N109,0)</f>
        <v>0</v>
      </c>
      <c r="P59" s="75">
        <f>IF('Calcoli Titolo II'!$D$116=TRUE,'Calcoli Titolo II'!O109,0)</f>
        <v>0</v>
      </c>
      <c r="Q59" s="75">
        <f>IF('Calcoli Titolo II'!$D$116=TRUE,'Calcoli Titolo II'!P109,0)</f>
        <v>0</v>
      </c>
      <c r="R59" s="75">
        <f>IF('Calcoli Titolo II'!$D$116=TRUE,'Calcoli Titolo II'!Q109,0)</f>
        <v>0</v>
      </c>
      <c r="S59" s="75">
        <f>IF('Calcoli Titolo II'!$D$116=TRUE,'Calcoli Titolo II'!R109,0)</f>
        <v>0</v>
      </c>
      <c r="T59" s="75">
        <f>IF('Calcoli Titolo II'!$D$116=TRUE,'Calcoli Titolo II'!S109,0)</f>
        <v>0</v>
      </c>
      <c r="U59" s="75">
        <f>IF('Calcoli Titolo II'!$D$116=TRUE,'Calcoli Titolo II'!T109,0)</f>
        <v>0</v>
      </c>
      <c r="V59" s="75">
        <f>IF('Calcoli Titolo II'!$D$116=TRUE,'Calcoli Titolo II'!U109,0)</f>
        <v>0</v>
      </c>
      <c r="W59" s="75">
        <f>IF('Calcoli Titolo II'!$D$116=TRUE,'Calcoli Titolo II'!V109,0)</f>
        <v>0</v>
      </c>
      <c r="X59" s="75">
        <f>IF('Calcoli Titolo II'!$D$116=TRUE,'Calcoli Titolo II'!W109,0)</f>
        <v>0</v>
      </c>
    </row>
    <row r="60" spans="1:25" ht="15.75">
      <c r="A60" s="71" t="s">
        <v>131</v>
      </c>
      <c r="B60" s="69"/>
      <c r="C60" s="69"/>
      <c r="D60" s="69"/>
      <c r="E60" s="75">
        <f>IF('Calcoli Titolo II'!$D$75=4,E58/100*$K$18,0)</f>
        <v>1925.4124999999999</v>
      </c>
      <c r="F60" s="75">
        <f>IF('Calcoli Titolo II'!$D$75=4,F58/100*$K$18,0)</f>
        <v>752.0253124999997</v>
      </c>
      <c r="G60" s="75">
        <f>IF('Calcoli Titolo II'!$D$75=4,G58/100*$K$18,0)</f>
        <v>714.80319968750018</v>
      </c>
      <c r="H60" s="75">
        <f>IF('Calcoli Titolo II'!$D$75=4,H58/100*$K$18,0)</f>
        <v>677.7159771903124</v>
      </c>
      <c r="I60" s="75">
        <f>IF('Calcoli Titolo II'!$D$75=4,I58/100*$K$18,0)</f>
        <v>640.75842882159998</v>
      </c>
      <c r="J60" s="75">
        <f>IF('Calcoli Titolo II'!$D$75=4,J58/100*$K$18,0)</f>
        <v>603.92530529672524</v>
      </c>
      <c r="K60" s="75">
        <f>IF('Calcoli Titolo II'!$D$75=4,K58/100*$K$18,0)</f>
        <v>567.21132293026551</v>
      </c>
      <c r="L60" s="75">
        <f>IF('Calcoli Titolo II'!$D$75=4,L58/100*$K$18,0)</f>
        <v>530.61116231272717</v>
      </c>
      <c r="M60" s="75">
        <f>IF('Calcoli Titolo II'!$D$75=4,M58/100*$K$18,0)</f>
        <v>494.11946696652393</v>
      </c>
      <c r="N60" s="75">
        <f>IF('Calcoli Titolo II'!$D$75=4,N58/100*$K$18,0)</f>
        <v>457.73084198072809</v>
      </c>
      <c r="O60" s="75">
        <f>IF('Calcoli Titolo II'!$D$75=4,O58/100*$K$18,0)</f>
        <v>421.43985262414321</v>
      </c>
      <c r="P60" s="75">
        <f>IF('Calcoli Titolo II'!$D$75=4,P58/100*$K$18,0)</f>
        <v>1268.8160229361927</v>
      </c>
      <c r="Q60" s="75">
        <f>IF('Calcoli Titolo II'!$D$75=4,Q58/100*$K$18,0)</f>
        <v>2621.1788342951468</v>
      </c>
      <c r="R60" s="75">
        <f>IF('Calcoli Titolo II'!$D$75=4,R58/100*$K$18,0)</f>
        <v>2585.1477239631772</v>
      </c>
      <c r="S60" s="75">
        <f>IF('Calcoli Titolo II'!$D$75=4,S58/100*$K$18,0)</f>
        <v>2549.1920836077297</v>
      </c>
      <c r="T60" s="75">
        <f>IF('Calcoli Titolo II'!$D$75=4,T58/100*$K$18,0)</f>
        <v>2513.3062577986857</v>
      </c>
      <c r="U60" s="75">
        <f>IF('Calcoli Titolo II'!$D$75=4,U58/100*$K$18,0)</f>
        <v>2477.4845424807918</v>
      </c>
      <c r="V60" s="75">
        <f>IF('Calcoli Titolo II'!$D$75=4,V58/100*$K$18,0)</f>
        <v>2441.7211834208042</v>
      </c>
      <c r="W60" s="75">
        <f>IF('Calcoli Titolo II'!$D$75=4,W58/100*$K$18,0)</f>
        <v>2406.0103746288041</v>
      </c>
      <c r="X60" s="75">
        <f>IF('Calcoli Titolo II'!$D$75=4,X58/100*$K$18,0)</f>
        <v>2370.3462567531064</v>
      </c>
    </row>
    <row r="61" spans="1:25" ht="15.75">
      <c r="A61" s="71" t="s">
        <v>99</v>
      </c>
      <c r="B61" s="69"/>
      <c r="C61" s="69"/>
      <c r="D61" s="69"/>
      <c r="E61" s="75">
        <f>IF('Calcoli Titolo II'!$D$75&gt;2,E58/100*$K$16,0)</f>
        <v>273.05849999999998</v>
      </c>
      <c r="F61" s="75">
        <f>IF('Calcoli Titolo II'!$D$75&gt;2,F58/100*$K$16,0)</f>
        <v>106.65086249999995</v>
      </c>
      <c r="G61" s="75">
        <f>IF('Calcoli Titolo II'!$D$75&gt;2,G58/100*$K$16,0)</f>
        <v>101.37209013750002</v>
      </c>
      <c r="H61" s="75">
        <f>IF('Calcoli Titolo II'!$D$75&gt;2,H58/100*$K$16,0)</f>
        <v>96.112447674262484</v>
      </c>
      <c r="I61" s="75">
        <f>IF('Calcoli Titolo II'!$D$75&gt;2,I58/100*$K$16,0)</f>
        <v>90.871195360154175</v>
      </c>
      <c r="J61" s="75">
        <f>IF('Calcoli Titolo II'!$D$75&gt;2,J58/100*$K$16,0)</f>
        <v>85.647588751171952</v>
      </c>
      <c r="K61" s="75">
        <f>IF('Calcoli Titolo II'!$D$75&gt;2,K58/100*$K$16,0)</f>
        <v>80.44087852465583</v>
      </c>
      <c r="L61" s="75">
        <f>IF('Calcoli Titolo II'!$D$75&gt;2,L58/100*$K$16,0)</f>
        <v>75.250310291623123</v>
      </c>
      <c r="M61" s="75">
        <f>IF('Calcoli Titolo II'!$D$75&gt;2,M58/100*$K$16,0)</f>
        <v>70.075124406161578</v>
      </c>
      <c r="N61" s="75">
        <f>IF('Calcoli Titolo II'!$D$75&gt;2,N58/100*$K$16,0)</f>
        <v>64.914555771812346</v>
      </c>
      <c r="O61" s="75">
        <f>IF('Calcoli Titolo II'!$D$75&gt;2,O58/100*$K$16,0)</f>
        <v>59.767833644878486</v>
      </c>
      <c r="P61" s="75">
        <f>IF('Calcoli Titolo II'!$D$75&gt;2,P58/100*$K$16,0)</f>
        <v>179.94118143458732</v>
      </c>
      <c r="Q61" s="75">
        <f>IF('Calcoli Titolo II'!$D$75&gt;2,Q58/100*$K$16,0)</f>
        <v>371.73081650003894</v>
      </c>
      <c r="R61" s="75">
        <f>IF('Calcoli Titolo II'!$D$75&gt;2,R58/100*$K$16,0)</f>
        <v>366.62094994386877</v>
      </c>
      <c r="S61" s="75">
        <f>IF('Calcoli Titolo II'!$D$75&gt;2,S58/100*$K$16,0)</f>
        <v>361.52178640255073</v>
      </c>
      <c r="T61" s="75">
        <f>IF('Calcoli Titolo II'!$D$75&gt;2,T58/100*$K$16,0)</f>
        <v>356.43252383326814</v>
      </c>
      <c r="U61" s="75">
        <f>IF('Calcoli Titolo II'!$D$75&gt;2,U58/100*$K$16,0)</f>
        <v>351.3523532972759</v>
      </c>
      <c r="V61" s="75">
        <f>IF('Calcoli Titolo II'!$D$75&gt;2,V58/100*$K$16,0)</f>
        <v>346.28045873967767</v>
      </c>
      <c r="W61" s="75">
        <f>IF('Calcoli Titolo II'!$D$75&gt;2,W58/100*$K$16,0)</f>
        <v>341.21601676553945</v>
      </c>
      <c r="X61" s="75">
        <f>IF('Calcoli Titolo II'!$D$75&gt;2,X58/100*$K$16,0)</f>
        <v>336.15819641225869</v>
      </c>
    </row>
    <row r="62" spans="1:25" ht="15.75">
      <c r="A62" s="71" t="s">
        <v>47</v>
      </c>
      <c r="B62" s="69"/>
      <c r="C62" s="69"/>
      <c r="D62" s="69"/>
      <c r="E62" s="75">
        <f>$C$35</f>
        <v>250</v>
      </c>
      <c r="F62" s="75">
        <f t="shared" ref="F62:X62" si="7">$C$35</f>
        <v>250</v>
      </c>
      <c r="G62" s="75">
        <f t="shared" si="7"/>
        <v>250</v>
      </c>
      <c r="H62" s="75">
        <f t="shared" si="7"/>
        <v>250</v>
      </c>
      <c r="I62" s="75">
        <f t="shared" si="7"/>
        <v>250</v>
      </c>
      <c r="J62" s="75">
        <f t="shared" si="7"/>
        <v>250</v>
      </c>
      <c r="K62" s="75">
        <f t="shared" si="7"/>
        <v>250</v>
      </c>
      <c r="L62" s="75">
        <f t="shared" si="7"/>
        <v>250</v>
      </c>
      <c r="M62" s="75">
        <f t="shared" si="7"/>
        <v>250</v>
      </c>
      <c r="N62" s="75">
        <f t="shared" si="7"/>
        <v>250</v>
      </c>
      <c r="O62" s="75">
        <f t="shared" si="7"/>
        <v>250</v>
      </c>
      <c r="P62" s="75">
        <f t="shared" si="7"/>
        <v>250</v>
      </c>
      <c r="Q62" s="75">
        <f t="shared" si="7"/>
        <v>250</v>
      </c>
      <c r="R62" s="75">
        <f t="shared" si="7"/>
        <v>250</v>
      </c>
      <c r="S62" s="75">
        <f t="shared" si="7"/>
        <v>250</v>
      </c>
      <c r="T62" s="75">
        <f t="shared" si="7"/>
        <v>250</v>
      </c>
      <c r="U62" s="75">
        <f t="shared" si="7"/>
        <v>250</v>
      </c>
      <c r="V62" s="75">
        <f t="shared" si="7"/>
        <v>250</v>
      </c>
      <c r="W62" s="75">
        <f t="shared" si="7"/>
        <v>250</v>
      </c>
      <c r="X62" s="75">
        <f t="shared" si="7"/>
        <v>250</v>
      </c>
    </row>
    <row r="63" spans="1:25" ht="15.75">
      <c r="A63" s="71" t="s">
        <v>89</v>
      </c>
      <c r="B63" s="69"/>
      <c r="C63" s="69"/>
      <c r="D63" s="69"/>
      <c r="E63" s="75">
        <f>C37</f>
        <v>120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/>
    </row>
    <row r="64" spans="1:25" ht="15.75">
      <c r="A64" s="71" t="s">
        <v>88</v>
      </c>
      <c r="B64" s="69"/>
      <c r="C64" s="69"/>
      <c r="D64" s="69"/>
      <c r="E64" s="75">
        <f>$C$38</f>
        <v>28.75</v>
      </c>
      <c r="F64" s="75">
        <f t="shared" ref="F64:X64" si="8">$C$38</f>
        <v>28.75</v>
      </c>
      <c r="G64" s="75">
        <f t="shared" si="8"/>
        <v>28.75</v>
      </c>
      <c r="H64" s="75">
        <f t="shared" si="8"/>
        <v>28.75</v>
      </c>
      <c r="I64" s="75">
        <f t="shared" si="8"/>
        <v>28.75</v>
      </c>
      <c r="J64" s="75">
        <f t="shared" si="8"/>
        <v>28.75</v>
      </c>
      <c r="K64" s="75">
        <f t="shared" si="8"/>
        <v>28.75</v>
      </c>
      <c r="L64" s="75">
        <f t="shared" si="8"/>
        <v>28.75</v>
      </c>
      <c r="M64" s="75">
        <f t="shared" si="8"/>
        <v>28.75</v>
      </c>
      <c r="N64" s="75">
        <f t="shared" si="8"/>
        <v>28.75</v>
      </c>
      <c r="O64" s="75">
        <f t="shared" si="8"/>
        <v>28.75</v>
      </c>
      <c r="P64" s="75">
        <f t="shared" si="8"/>
        <v>28.75</v>
      </c>
      <c r="Q64" s="75">
        <f t="shared" si="8"/>
        <v>28.75</v>
      </c>
      <c r="R64" s="75">
        <f t="shared" si="8"/>
        <v>28.75</v>
      </c>
      <c r="S64" s="75">
        <f t="shared" si="8"/>
        <v>28.75</v>
      </c>
      <c r="T64" s="75">
        <f t="shared" si="8"/>
        <v>28.75</v>
      </c>
      <c r="U64" s="75">
        <f t="shared" si="8"/>
        <v>28.75</v>
      </c>
      <c r="V64" s="75">
        <f t="shared" si="8"/>
        <v>28.75</v>
      </c>
      <c r="W64" s="75">
        <f t="shared" si="8"/>
        <v>28.75</v>
      </c>
      <c r="X64" s="75">
        <f t="shared" si="8"/>
        <v>28.75</v>
      </c>
    </row>
    <row r="65" spans="1:24" ht="15.75">
      <c r="A65" s="71" t="s">
        <v>94</v>
      </c>
      <c r="B65" s="69"/>
      <c r="C65" s="69"/>
      <c r="D65" s="69"/>
      <c r="E65" s="75">
        <f>C39</f>
        <v>24240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</row>
    <row r="66" spans="1:24" ht="15.75">
      <c r="A66" s="71" t="s">
        <v>46</v>
      </c>
      <c r="B66" s="69"/>
      <c r="C66" s="69"/>
      <c r="D66" s="69"/>
      <c r="E66" s="75">
        <f t="shared" ref="E66:X66" si="9">$C$40</f>
        <v>250</v>
      </c>
      <c r="F66" s="75">
        <f t="shared" si="9"/>
        <v>250</v>
      </c>
      <c r="G66" s="75">
        <f t="shared" si="9"/>
        <v>250</v>
      </c>
      <c r="H66" s="75">
        <f t="shared" si="9"/>
        <v>250</v>
      </c>
      <c r="I66" s="75">
        <f t="shared" si="9"/>
        <v>250</v>
      </c>
      <c r="J66" s="75">
        <f t="shared" si="9"/>
        <v>250</v>
      </c>
      <c r="K66" s="75">
        <f t="shared" si="9"/>
        <v>250</v>
      </c>
      <c r="L66" s="75">
        <f t="shared" si="9"/>
        <v>250</v>
      </c>
      <c r="M66" s="75">
        <f t="shared" si="9"/>
        <v>250</v>
      </c>
      <c r="N66" s="75">
        <f t="shared" si="9"/>
        <v>250</v>
      </c>
      <c r="O66" s="75">
        <f t="shared" si="9"/>
        <v>250</v>
      </c>
      <c r="P66" s="75">
        <f t="shared" si="9"/>
        <v>250</v>
      </c>
      <c r="Q66" s="75">
        <f t="shared" si="9"/>
        <v>250</v>
      </c>
      <c r="R66" s="75">
        <f t="shared" si="9"/>
        <v>250</v>
      </c>
      <c r="S66" s="75">
        <f t="shared" si="9"/>
        <v>250</v>
      </c>
      <c r="T66" s="75">
        <f t="shared" si="9"/>
        <v>250</v>
      </c>
      <c r="U66" s="75">
        <f t="shared" si="9"/>
        <v>250</v>
      </c>
      <c r="V66" s="75">
        <f t="shared" si="9"/>
        <v>250</v>
      </c>
      <c r="W66" s="75">
        <f t="shared" si="9"/>
        <v>250</v>
      </c>
      <c r="X66" s="75">
        <f t="shared" si="9"/>
        <v>250</v>
      </c>
    </row>
    <row r="67" spans="1:24" ht="15.75">
      <c r="A67" s="71" t="s">
        <v>101</v>
      </c>
      <c r="B67" s="69"/>
      <c r="C67" s="69"/>
      <c r="D67" s="69"/>
      <c r="E67" s="76">
        <f>SUM(E59:E66)</f>
        <v>27087.221000000001</v>
      </c>
      <c r="F67" s="76">
        <f>SUM(F59:F66)</f>
        <v>1387.4261749999996</v>
      </c>
      <c r="G67" s="76">
        <f t="shared" ref="G67:X67" si="10">SUM(G59:G66)</f>
        <v>1344.9252898250002</v>
      </c>
      <c r="H67" s="76">
        <f t="shared" si="10"/>
        <v>1302.578424864575</v>
      </c>
      <c r="I67" s="76">
        <f t="shared" si="10"/>
        <v>1260.379624181754</v>
      </c>
      <c r="J67" s="76">
        <f t="shared" si="10"/>
        <v>1218.3228940478971</v>
      </c>
      <c r="K67" s="76">
        <f t="shared" si="10"/>
        <v>1176.4022014549214</v>
      </c>
      <c r="L67" s="76">
        <f t="shared" si="10"/>
        <v>1134.6114726043502</v>
      </c>
      <c r="M67" s="76">
        <f t="shared" si="10"/>
        <v>1092.9445913726854</v>
      </c>
      <c r="N67" s="76">
        <f t="shared" si="10"/>
        <v>1051.3953977525405</v>
      </c>
      <c r="O67" s="76">
        <f t="shared" si="10"/>
        <v>1009.9576862690217</v>
      </c>
      <c r="P67" s="76">
        <f t="shared" si="10"/>
        <v>1977.5072043707801</v>
      </c>
      <c r="Q67" s="76">
        <f t="shared" si="10"/>
        <v>3521.6596507951858</v>
      </c>
      <c r="R67" s="76">
        <f t="shared" si="10"/>
        <v>3480.5186739070459</v>
      </c>
      <c r="S67" s="76">
        <f t="shared" si="10"/>
        <v>3439.4638700102805</v>
      </c>
      <c r="T67" s="76">
        <f t="shared" si="10"/>
        <v>3398.4887816319538</v>
      </c>
      <c r="U67" s="76">
        <f t="shared" si="10"/>
        <v>3357.5868957780676</v>
      </c>
      <c r="V67" s="76">
        <f t="shared" si="10"/>
        <v>3316.7516421604819</v>
      </c>
      <c r="W67" s="76">
        <f t="shared" si="10"/>
        <v>3275.9763913943434</v>
      </c>
      <c r="X67" s="76">
        <f t="shared" si="10"/>
        <v>3235.2544531653652</v>
      </c>
    </row>
    <row r="68" spans="1:24" ht="11.25" customHeight="1">
      <c r="A68" s="57"/>
      <c r="B68" s="69"/>
      <c r="C68" s="69"/>
      <c r="D68" s="69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</row>
    <row r="69" spans="1:24" ht="16.5" thickBot="1">
      <c r="A69" s="71" t="s">
        <v>105</v>
      </c>
      <c r="B69" s="69"/>
      <c r="C69" s="69"/>
      <c r="D69" s="69"/>
      <c r="E69" s="77">
        <v>1</v>
      </c>
      <c r="F69" s="77">
        <v>2</v>
      </c>
      <c r="G69" s="77">
        <v>3</v>
      </c>
      <c r="H69" s="77">
        <v>4</v>
      </c>
      <c r="I69" s="77">
        <v>5</v>
      </c>
      <c r="J69" s="77">
        <v>6</v>
      </c>
      <c r="K69" s="77">
        <v>7</v>
      </c>
      <c r="L69" s="77">
        <v>8</v>
      </c>
      <c r="M69" s="77">
        <v>9</v>
      </c>
      <c r="N69" s="77">
        <v>10</v>
      </c>
      <c r="O69" s="77">
        <v>11</v>
      </c>
      <c r="P69" s="77">
        <v>12</v>
      </c>
      <c r="Q69" s="77">
        <v>13</v>
      </c>
      <c r="R69" s="77">
        <v>14</v>
      </c>
      <c r="S69" s="77">
        <v>15</v>
      </c>
      <c r="T69" s="77">
        <v>16</v>
      </c>
      <c r="U69" s="77">
        <v>17</v>
      </c>
      <c r="V69" s="77">
        <v>18</v>
      </c>
      <c r="W69" s="77">
        <v>19</v>
      </c>
      <c r="X69" s="77">
        <v>20</v>
      </c>
    </row>
    <row r="70" spans="1:24" ht="16.5" thickBot="1">
      <c r="A70" s="71" t="s">
        <v>44</v>
      </c>
      <c r="B70" s="69"/>
      <c r="C70" s="69"/>
      <c r="D70" s="69"/>
      <c r="E70" s="78">
        <f>(-(C3*C34))+E55-E67</f>
        <v>-105054.72100000001</v>
      </c>
      <c r="F70" s="78">
        <f t="shared" ref="F70:X70" si="11">E70+F55-F67</f>
        <v>-92526.269675000003</v>
      </c>
      <c r="G70" s="78">
        <f t="shared" si="11"/>
        <v>-80032.285802325001</v>
      </c>
      <c r="H70" s="78">
        <f t="shared" si="11"/>
        <v>-67571.265195952074</v>
      </c>
      <c r="I70" s="78">
        <f t="shared" si="11"/>
        <v>-55141.693327953464</v>
      </c>
      <c r="J70" s="78">
        <f t="shared" si="11"/>
        <v>-42742.044943982139</v>
      </c>
      <c r="K70" s="78">
        <f t="shared" si="11"/>
        <v>-30370.783672666166</v>
      </c>
      <c r="L70" s="78">
        <f t="shared" si="11"/>
        <v>-18026.36162877563</v>
      </c>
      <c r="M70" s="78">
        <f t="shared" si="11"/>
        <v>-5707.2190100233802</v>
      </c>
      <c r="N70" s="78">
        <f t="shared" si="11"/>
        <v>6588.2163126419628</v>
      </c>
      <c r="O70" s="78">
        <f t="shared" si="11"/>
        <v>18861.52921139482</v>
      </c>
      <c r="P70" s="78">
        <f t="shared" si="11"/>
        <v>30105.435724690236</v>
      </c>
      <c r="Q70" s="78">
        <f t="shared" si="11"/>
        <v>39745.043487369956</v>
      </c>
      <c r="R70" s="78">
        <f t="shared" si="11"/>
        <v>49367.364167869586</v>
      </c>
      <c r="S70" s="78">
        <f t="shared" si="11"/>
        <v>58974.037912682448</v>
      </c>
      <c r="T70" s="78">
        <f t="shared" si="11"/>
        <v>68566.719798238468</v>
      </c>
      <c r="U70" s="78">
        <f t="shared" si="11"/>
        <v>78147.080290359896</v>
      </c>
      <c r="V70" s="78">
        <f t="shared" si="11"/>
        <v>87716.805711458335</v>
      </c>
      <c r="W70" s="78">
        <f t="shared" si="11"/>
        <v>97277.598715641114</v>
      </c>
      <c r="X70" s="78">
        <f t="shared" si="11"/>
        <v>106831.17877189796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H35:I35"/>
    <mergeCell ref="H36:I36"/>
    <mergeCell ref="A12:C12"/>
    <mergeCell ref="A15:C15"/>
    <mergeCell ref="A6:C6"/>
    <mergeCell ref="A8:C8"/>
    <mergeCell ref="A10:C10"/>
    <mergeCell ref="H21:O22"/>
    <mergeCell ref="H34:I34"/>
  </mergeCells>
  <conditionalFormatting sqref="E70:X70">
    <cfRule type="cellIs" dxfId="5" priority="4" operator="lessThan">
      <formula>0</formula>
    </cfRule>
    <cfRule type="cellIs" dxfId="4" priority="5" operator="greaterThan">
      <formula>0</formula>
    </cfRule>
    <cfRule type="cellIs" dxfId="3" priority="6" operator="greaterThan">
      <formula>0</formula>
    </cfRule>
  </conditionalFormatting>
  <conditionalFormatting sqref="E57:X61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hyperlinks>
    <hyperlink ref="F26" r:id="rId1"/>
  </hyperlinks>
  <pageMargins left="0.70866141732283472" right="0.70866141732283472" top="0.74803149606299213" bottom="0.74803149606299213" header="0.31496062992125984" footer="0.31496062992125984"/>
  <pageSetup paperSize="8" scale="72" orientation="landscape" r:id="rId2"/>
  <ignoredErrors>
    <ignoredError sqref="C37:C38" unlockedFormula="1"/>
    <ignoredError sqref="E64" 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1:W116"/>
  <sheetViews>
    <sheetView topLeftCell="A95" zoomScaleNormal="100" workbookViewId="0">
      <selection activeCell="D117" sqref="D117"/>
    </sheetView>
  </sheetViews>
  <sheetFormatPr defaultRowHeight="15"/>
  <cols>
    <col min="1" max="3" width="9.140625" style="7" customWidth="1"/>
    <col min="4" max="4" width="11.28515625" style="7" customWidth="1"/>
    <col min="5" max="5" width="10.85546875" style="7" customWidth="1"/>
    <col min="6" max="6" width="11.28515625" style="7" customWidth="1"/>
    <col min="7" max="7" width="9.140625" style="7" customWidth="1"/>
    <col min="8" max="8" width="9.5703125" style="7" customWidth="1"/>
    <col min="9" max="9" width="8.7109375" style="7" customWidth="1"/>
    <col min="10" max="11" width="9.140625" style="7" customWidth="1"/>
    <col min="12" max="12" width="8.5703125" style="7" customWidth="1"/>
    <col min="13" max="13" width="9.140625" style="7" customWidth="1"/>
    <col min="14" max="14" width="9.85546875" style="7" customWidth="1"/>
    <col min="15" max="15" width="8" style="7" customWidth="1"/>
    <col min="16" max="16" width="9.140625" style="7" customWidth="1"/>
    <col min="17" max="17" width="9.140625" style="102" customWidth="1"/>
    <col min="18" max="21" width="9.140625" style="7" customWidth="1"/>
    <col min="22" max="16384" width="9.140625" style="7"/>
  </cols>
  <sheetData>
    <row r="1" spans="4:18" s="2" customFormat="1" ht="18.75">
      <c r="D1" s="157">
        <v>1</v>
      </c>
      <c r="E1" s="3" t="s">
        <v>113</v>
      </c>
      <c r="F1" s="4"/>
      <c r="H1" s="3" t="s">
        <v>18</v>
      </c>
      <c r="I1" s="3"/>
      <c r="J1" s="3"/>
      <c r="K1" s="3">
        <v>1</v>
      </c>
      <c r="L1" s="3">
        <v>4</v>
      </c>
      <c r="M1" s="5">
        <f>'Impianti Titolo II'!C3</f>
        <v>50</v>
      </c>
      <c r="N1" s="3"/>
      <c r="O1" s="3"/>
      <c r="P1" s="3" t="b">
        <f>AND($K$1=1,$L$1=1,$M$1&lt;20)</f>
        <v>0</v>
      </c>
      <c r="Q1" s="6">
        <v>0</v>
      </c>
      <c r="R1" s="3">
        <f>IF(P1=TRUE,Q1,0)</f>
        <v>0</v>
      </c>
    </row>
    <row r="2" spans="4:18">
      <c r="D2" s="158"/>
      <c r="E2" s="3" t="s">
        <v>114</v>
      </c>
      <c r="F2" s="8"/>
      <c r="H2" s="3" t="s">
        <v>17</v>
      </c>
      <c r="I2" s="3"/>
      <c r="J2" s="3"/>
      <c r="K2" s="3"/>
      <c r="P2" s="3" t="b">
        <f>AND($K$1=1,$L$1=2,$M$1&lt;20)</f>
        <v>0</v>
      </c>
      <c r="Q2" s="6">
        <v>30</v>
      </c>
      <c r="R2" s="3">
        <f>IF(P2=TRUE,Q2,0)</f>
        <v>0</v>
      </c>
    </row>
    <row r="3" spans="4:18">
      <c r="D3" s="158"/>
      <c r="E3" s="3" t="s">
        <v>115</v>
      </c>
      <c r="F3" s="8"/>
      <c r="H3" s="3" t="s">
        <v>16</v>
      </c>
      <c r="I3" s="3"/>
      <c r="J3" s="3"/>
      <c r="K3" s="3"/>
      <c r="P3" s="3" t="b">
        <f>AND($K$1=1,$L$1=3,$M$1&lt;20)</f>
        <v>0</v>
      </c>
      <c r="Q3" s="6">
        <v>20</v>
      </c>
      <c r="R3" s="3">
        <f t="shared" ref="R3" si="0">IF(P3=TRUE,Q3,0)</f>
        <v>0</v>
      </c>
    </row>
    <row r="4" spans="4:18">
      <c r="D4" s="158"/>
      <c r="E4" s="3" t="s">
        <v>116</v>
      </c>
      <c r="F4" s="8"/>
      <c r="H4" s="3"/>
      <c r="I4" s="3"/>
      <c r="J4" s="3"/>
      <c r="K4" s="3"/>
      <c r="P4" s="3" t="b">
        <f>AND($K$1=1,$L$1=4,$M$1&lt;20)</f>
        <v>0</v>
      </c>
      <c r="Q4" s="19">
        <v>50</v>
      </c>
      <c r="R4" s="3">
        <f t="shared" ref="R4:R19" si="1">IF(P4=TRUE,Q4,0)</f>
        <v>0</v>
      </c>
    </row>
    <row r="5" spans="4:18">
      <c r="D5" s="158"/>
      <c r="E5" s="3" t="s">
        <v>117</v>
      </c>
      <c r="F5" s="8"/>
      <c r="H5" s="18"/>
      <c r="P5" s="3" t="b">
        <f>AND($K$1=2,$L$1=1,$M$1&lt;20)</f>
        <v>0</v>
      </c>
      <c r="Q5" s="6">
        <v>0</v>
      </c>
      <c r="R5" s="3">
        <f t="shared" si="1"/>
        <v>0</v>
      </c>
    </row>
    <row r="6" spans="4:18" ht="15.75" thickBot="1">
      <c r="E6" s="3"/>
      <c r="H6" s="18"/>
      <c r="P6" s="3" t="b">
        <f>AND($K$1=2,$L$1=2,$M$1&lt;20)</f>
        <v>0</v>
      </c>
      <c r="Q6" s="19">
        <v>20</v>
      </c>
      <c r="R6" s="3">
        <f t="shared" si="1"/>
        <v>0</v>
      </c>
    </row>
    <row r="7" spans="4:18">
      <c r="D7" s="157">
        <v>1</v>
      </c>
      <c r="E7" s="16" t="s">
        <v>0</v>
      </c>
      <c r="F7" s="17"/>
      <c r="P7" s="3" t="b">
        <f>AND($K$1=2,$L$1=3,$M$1&lt;20)</f>
        <v>0</v>
      </c>
      <c r="Q7" s="19">
        <v>10</v>
      </c>
      <c r="R7" s="3">
        <f t="shared" si="1"/>
        <v>0</v>
      </c>
    </row>
    <row r="8" spans="4:18" ht="15.75" thickBot="1">
      <c r="D8" s="159"/>
      <c r="E8" s="20" t="s">
        <v>1</v>
      </c>
      <c r="F8" s="21"/>
      <c r="P8" s="3" t="b">
        <f>AND($K$1=2,$L$1=4,$M$1&lt;20)</f>
        <v>0</v>
      </c>
      <c r="Q8" s="19">
        <v>30</v>
      </c>
      <c r="R8" s="3">
        <f t="shared" si="1"/>
        <v>0</v>
      </c>
    </row>
    <row r="9" spans="4:18">
      <c r="P9" s="3" t="b">
        <f>AND($K$1=3,$L$1=1,$M$1&lt;20)</f>
        <v>0</v>
      </c>
      <c r="Q9" s="6">
        <v>0</v>
      </c>
      <c r="R9" s="3">
        <f t="shared" si="1"/>
        <v>0</v>
      </c>
    </row>
    <row r="10" spans="4:18" ht="15.75" thickBot="1"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3" t="b">
        <f>AND($K$1=3,$L$1=2,$M$1&lt;20)</f>
        <v>0</v>
      </c>
      <c r="Q10" s="19">
        <v>10</v>
      </c>
      <c r="R10" s="3">
        <f t="shared" si="1"/>
        <v>0</v>
      </c>
    </row>
    <row r="11" spans="4:18">
      <c r="D11" s="24"/>
      <c r="E11" s="16"/>
      <c r="F11" s="154" t="s">
        <v>4</v>
      </c>
      <c r="G11" s="155"/>
      <c r="H11" s="102"/>
      <c r="I11" s="102"/>
      <c r="J11" s="99"/>
      <c r="K11" s="16"/>
      <c r="L11" s="154" t="s">
        <v>5</v>
      </c>
      <c r="M11" s="155"/>
      <c r="N11" s="3"/>
      <c r="O11" s="3"/>
      <c r="P11" s="3" t="b">
        <f>AND($K$1=3,$L$1=3,$M$1&lt;20)</f>
        <v>0</v>
      </c>
      <c r="Q11" s="19">
        <v>5</v>
      </c>
      <c r="R11" s="3">
        <f t="shared" si="1"/>
        <v>0</v>
      </c>
    </row>
    <row r="12" spans="4:18">
      <c r="D12" s="23"/>
      <c r="E12" s="3"/>
      <c r="F12" s="6" t="s">
        <v>2</v>
      </c>
      <c r="G12" s="27" t="s">
        <v>3</v>
      </c>
      <c r="H12" s="102"/>
      <c r="I12" s="102"/>
      <c r="J12" s="100"/>
      <c r="K12" s="3"/>
      <c r="L12" s="6" t="s">
        <v>2</v>
      </c>
      <c r="M12" s="27" t="s">
        <v>3</v>
      </c>
      <c r="N12" s="28"/>
      <c r="O12" s="28"/>
      <c r="P12" s="3" t="b">
        <f>AND($K$1=3,$L$1=4,$M$1&lt;20)</f>
        <v>0</v>
      </c>
      <c r="Q12" s="19">
        <v>15</v>
      </c>
      <c r="R12" s="3">
        <f t="shared" si="1"/>
        <v>0</v>
      </c>
    </row>
    <row r="13" spans="4:18">
      <c r="D13" s="23" t="b">
        <f>AND($D$1=1,$D$7=1,'Impianti Titolo II'!$C$3&lt;=3,'Impianti Titolo II'!$C$3&gt;=1)</f>
        <v>0</v>
      </c>
      <c r="E13" s="29" t="s">
        <v>7</v>
      </c>
      <c r="F13" s="6">
        <v>208</v>
      </c>
      <c r="G13" s="27">
        <f t="shared" ref="G13:G18" si="2">F13-82</f>
        <v>126</v>
      </c>
      <c r="H13" s="102">
        <f t="shared" ref="H13:H18" si="3">IF(D13=TRUE,F13,0)</f>
        <v>0</v>
      </c>
      <c r="I13" s="102">
        <f t="shared" ref="I13:I18" si="4">IF(D13=TRUE,G13,0)</f>
        <v>0</v>
      </c>
      <c r="J13" s="23" t="b">
        <f>AND($D$1=1,$D$7=2,'Impianti Titolo II'!$C$3&lt;=3,'Impianti Titolo II'!$C$3&gt;=1)</f>
        <v>0</v>
      </c>
      <c r="K13" s="29" t="s">
        <v>7</v>
      </c>
      <c r="L13" s="6">
        <v>201</v>
      </c>
      <c r="M13" s="27">
        <f t="shared" ref="M13:M18" si="5">L13-82</f>
        <v>119</v>
      </c>
      <c r="N13" s="6">
        <f>IF(J13=TRUE,L13,0)</f>
        <v>0</v>
      </c>
      <c r="O13" s="6">
        <f>IF(J13=TRUE,M13,0)</f>
        <v>0</v>
      </c>
      <c r="P13" s="3" t="b">
        <f>AND($K$1=1,$L$1=1,$M$1&gt;20)</f>
        <v>0</v>
      </c>
      <c r="Q13" s="102">
        <v>0</v>
      </c>
      <c r="R13" s="3">
        <f t="shared" si="1"/>
        <v>0</v>
      </c>
    </row>
    <row r="14" spans="4:18">
      <c r="D14" s="23" t="b">
        <f>AND($D$1=1,$D$7=1,'Impianti Titolo II'!$C$3&lt;=20,'Impianti Titolo II'!$C$3&gt;3)</f>
        <v>0</v>
      </c>
      <c r="E14" s="29" t="s">
        <v>8</v>
      </c>
      <c r="F14" s="6">
        <v>196</v>
      </c>
      <c r="G14" s="27">
        <f t="shared" si="2"/>
        <v>114</v>
      </c>
      <c r="H14" s="102">
        <f t="shared" si="3"/>
        <v>0</v>
      </c>
      <c r="I14" s="102">
        <f t="shared" si="4"/>
        <v>0</v>
      </c>
      <c r="J14" s="23" t="b">
        <f>AND($D$1=1,$D$7=2,'Impianti Titolo II'!$C$3&lt;=20,'Impianti Titolo II'!$C$3&gt;3)</f>
        <v>0</v>
      </c>
      <c r="K14" s="29" t="s">
        <v>8</v>
      </c>
      <c r="L14" s="6">
        <v>189</v>
      </c>
      <c r="M14" s="27">
        <f t="shared" si="5"/>
        <v>107</v>
      </c>
      <c r="N14" s="6">
        <f t="shared" ref="N14:N18" si="6">IF(J14=TRUE,L14,0)</f>
        <v>0</v>
      </c>
      <c r="O14" s="6">
        <f t="shared" ref="O14:O18" si="7">IF(J14=TRUE,M14,0)</f>
        <v>0</v>
      </c>
      <c r="P14" s="3" t="b">
        <f>AND($K$1=1,$L$1=2,$M$1&gt;20)</f>
        <v>0</v>
      </c>
      <c r="Q14" s="102">
        <v>20</v>
      </c>
      <c r="R14" s="3">
        <f t="shared" si="1"/>
        <v>0</v>
      </c>
    </row>
    <row r="15" spans="4:18" ht="22.5" customHeight="1">
      <c r="D15" s="23" t="b">
        <f>AND($D$1=1,$D$7=1,'Impianti Titolo II'!$C$3&lt;=200,'Impianti Titolo II'!$C$3&gt;20)</f>
        <v>1</v>
      </c>
      <c r="E15" s="29" t="s">
        <v>9</v>
      </c>
      <c r="F15" s="6">
        <v>175</v>
      </c>
      <c r="G15" s="27">
        <f t="shared" si="2"/>
        <v>93</v>
      </c>
      <c r="H15" s="102">
        <f t="shared" si="3"/>
        <v>175</v>
      </c>
      <c r="I15" s="102">
        <f t="shared" si="4"/>
        <v>93</v>
      </c>
      <c r="J15" s="23" t="b">
        <f>AND($D$1=1,$D$7=2,'Impianti Titolo II'!$C$3&lt;=200,'Impianti Titolo II'!$C$3&gt;20)</f>
        <v>0</v>
      </c>
      <c r="K15" s="29" t="s">
        <v>9</v>
      </c>
      <c r="L15" s="6">
        <v>168</v>
      </c>
      <c r="M15" s="27">
        <f t="shared" si="5"/>
        <v>86</v>
      </c>
      <c r="N15" s="6">
        <f t="shared" si="6"/>
        <v>0</v>
      </c>
      <c r="O15" s="6">
        <f t="shared" si="7"/>
        <v>0</v>
      </c>
      <c r="P15" s="3" t="b">
        <f>AND($K$1=1,$L$1=3,$M$1&gt;20)</f>
        <v>0</v>
      </c>
      <c r="Q15" s="102">
        <v>20</v>
      </c>
      <c r="R15" s="3">
        <f t="shared" si="1"/>
        <v>0</v>
      </c>
    </row>
    <row r="16" spans="4:18" ht="13.5" customHeight="1">
      <c r="D16" s="23" t="b">
        <f>AND($D$1=1,$D$7=1,'Impianti Titolo II'!$C$3&lt;=1000,'Impianti Titolo II'!$C$3&gt;200)</f>
        <v>0</v>
      </c>
      <c r="E16" s="29" t="s">
        <v>10</v>
      </c>
      <c r="F16" s="6">
        <v>142</v>
      </c>
      <c r="G16" s="27">
        <f t="shared" si="2"/>
        <v>60</v>
      </c>
      <c r="H16" s="102">
        <f t="shared" si="3"/>
        <v>0</v>
      </c>
      <c r="I16" s="102">
        <f t="shared" si="4"/>
        <v>0</v>
      </c>
      <c r="J16" s="23" t="b">
        <f>AND($D$1=1,$D$7=2,'Impianti Titolo II'!$C$3&lt;=1000,'Impianti Titolo II'!$C$3&gt;200)</f>
        <v>0</v>
      </c>
      <c r="K16" s="29" t="s">
        <v>10</v>
      </c>
      <c r="L16" s="6">
        <v>135</v>
      </c>
      <c r="M16" s="27">
        <f t="shared" si="5"/>
        <v>53</v>
      </c>
      <c r="N16" s="6">
        <f t="shared" si="6"/>
        <v>0</v>
      </c>
      <c r="O16" s="6">
        <f t="shared" si="7"/>
        <v>0</v>
      </c>
      <c r="P16" s="3" t="b">
        <f>AND($K$1=1,$L$1=4,$M$1&gt;20)</f>
        <v>1</v>
      </c>
      <c r="Q16" s="102">
        <v>40</v>
      </c>
      <c r="R16" s="3">
        <f t="shared" si="1"/>
        <v>40</v>
      </c>
    </row>
    <row r="17" spans="4:21">
      <c r="D17" s="23" t="b">
        <f>AND($D$1=1,$D$7=1,'Impianti Titolo II'!$C$3&lt;=5000,'Impianti Titolo II'!$C$3&gt;1000)</f>
        <v>0</v>
      </c>
      <c r="E17" s="29" t="s">
        <v>11</v>
      </c>
      <c r="F17" s="6">
        <v>126</v>
      </c>
      <c r="G17" s="27">
        <f t="shared" si="2"/>
        <v>44</v>
      </c>
      <c r="H17" s="102">
        <f t="shared" si="3"/>
        <v>0</v>
      </c>
      <c r="I17" s="102">
        <f t="shared" si="4"/>
        <v>0</v>
      </c>
      <c r="J17" s="23" t="b">
        <f>AND($D$1=1,$D$7=2,'Impianti Titolo II'!$C$3&lt;=5000,'Impianti Titolo II'!$C$3&gt;1000)</f>
        <v>0</v>
      </c>
      <c r="K17" s="29" t="s">
        <v>11</v>
      </c>
      <c r="L17" s="6">
        <v>120</v>
      </c>
      <c r="M17" s="27">
        <f t="shared" si="5"/>
        <v>38</v>
      </c>
      <c r="N17" s="6">
        <f t="shared" si="6"/>
        <v>0</v>
      </c>
      <c r="O17" s="6">
        <f t="shared" si="7"/>
        <v>0</v>
      </c>
      <c r="P17" s="3" t="b">
        <f>AND($K$1=2,$L$1=1,$M$1&gt;20)</f>
        <v>0</v>
      </c>
      <c r="Q17" s="102">
        <v>0</v>
      </c>
      <c r="R17" s="3">
        <f t="shared" si="1"/>
        <v>0</v>
      </c>
    </row>
    <row r="18" spans="4:21" ht="15.75" thickBot="1">
      <c r="D18" s="30" t="b">
        <f>AND($D$1=1,$D$7=1,'Impianti Titolo II'!$C$3&gt;=5000)</f>
        <v>0</v>
      </c>
      <c r="E18" s="39" t="s">
        <v>12</v>
      </c>
      <c r="F18" s="40">
        <v>119</v>
      </c>
      <c r="G18" s="41">
        <f t="shared" si="2"/>
        <v>37</v>
      </c>
      <c r="H18" s="102">
        <f t="shared" si="3"/>
        <v>0</v>
      </c>
      <c r="I18" s="102">
        <f t="shared" si="4"/>
        <v>0</v>
      </c>
      <c r="J18" s="30" t="b">
        <f>AND($D$1=1,$D$7=2,'Impianti Titolo II'!$C$3&gt;=5000)</f>
        <v>0</v>
      </c>
      <c r="K18" s="39" t="s">
        <v>12</v>
      </c>
      <c r="L18" s="40">
        <v>113</v>
      </c>
      <c r="M18" s="41">
        <f t="shared" si="5"/>
        <v>31</v>
      </c>
      <c r="N18" s="6">
        <f t="shared" si="6"/>
        <v>0</v>
      </c>
      <c r="O18" s="6">
        <f t="shared" si="7"/>
        <v>0</v>
      </c>
      <c r="P18" s="3" t="b">
        <f>AND($K$1=2,$L$1=2,$M$1&gt;20)</f>
        <v>0</v>
      </c>
      <c r="Q18" s="102">
        <v>10</v>
      </c>
      <c r="R18" s="3">
        <f t="shared" si="1"/>
        <v>0</v>
      </c>
    </row>
    <row r="19" spans="4:21" ht="15.75" thickBot="1">
      <c r="F19" s="102"/>
      <c r="G19" s="102"/>
      <c r="H19" s="48">
        <f>SUM(H13:H18)</f>
        <v>175</v>
      </c>
      <c r="I19" s="49">
        <f>SUM(I13:I18)</f>
        <v>93</v>
      </c>
      <c r="K19" s="102"/>
      <c r="L19" s="102"/>
      <c r="M19" s="102"/>
      <c r="N19" s="48">
        <f>SUM(N13:N18)</f>
        <v>0</v>
      </c>
      <c r="O19" s="48">
        <f>SUM(O13:O18)</f>
        <v>0</v>
      </c>
      <c r="P19" s="3" t="b">
        <f>AND($K$1=2,$L$1=3,$M$1&gt;20)</f>
        <v>0</v>
      </c>
      <c r="Q19" s="102">
        <v>10</v>
      </c>
      <c r="R19" s="3">
        <f t="shared" si="1"/>
        <v>0</v>
      </c>
    </row>
    <row r="20" spans="4:21" ht="24" customHeight="1">
      <c r="F20" s="102"/>
      <c r="G20" s="102"/>
      <c r="H20" s="6"/>
      <c r="I20" s="6"/>
      <c r="K20" s="102"/>
      <c r="L20" s="102"/>
      <c r="M20" s="102"/>
      <c r="N20" s="6"/>
      <c r="O20" s="6"/>
      <c r="P20" s="3" t="b">
        <f>AND($K$1=2,$L$1=4,$M$1&gt;20)</f>
        <v>0</v>
      </c>
      <c r="Q20" s="111">
        <v>20</v>
      </c>
      <c r="R20" s="3">
        <f t="shared" ref="R20" si="8">IF(P20=TRUE,Q20,0)</f>
        <v>0</v>
      </c>
    </row>
    <row r="21" spans="4:21" ht="12.75" customHeight="1" thickBot="1">
      <c r="F21" s="156"/>
      <c r="G21" s="156"/>
      <c r="H21" s="102"/>
      <c r="I21" s="102"/>
      <c r="K21" s="102"/>
      <c r="L21" s="156"/>
      <c r="M21" s="156"/>
      <c r="N21" s="102"/>
      <c r="O21" s="102"/>
      <c r="P21" s="53" t="b">
        <f>AND($K$1=3,$L$1=1,$M$1&gt;20)</f>
        <v>0</v>
      </c>
      <c r="Q21" s="56">
        <v>0</v>
      </c>
      <c r="R21" s="53">
        <f t="shared" ref="R21:R24" si="9">IF(P21=TRUE,Q21,0)</f>
        <v>0</v>
      </c>
    </row>
    <row r="22" spans="4:21" s="53" customFormat="1" ht="22.5" customHeight="1">
      <c r="D22" s="103"/>
      <c r="E22" s="104"/>
      <c r="F22" s="105" t="s">
        <v>2</v>
      </c>
      <c r="G22" s="106" t="s">
        <v>3</v>
      </c>
      <c r="H22" s="56"/>
      <c r="I22" s="56"/>
      <c r="J22" s="103"/>
      <c r="K22" s="104"/>
      <c r="L22" s="105" t="s">
        <v>2</v>
      </c>
      <c r="M22" s="106" t="s">
        <v>3</v>
      </c>
      <c r="N22" s="54"/>
      <c r="O22" s="54"/>
      <c r="P22" s="12" t="b">
        <f>AND($K$1=3,$L$1=2,$M$1&gt;20)</f>
        <v>0</v>
      </c>
      <c r="Q22" s="60">
        <v>5</v>
      </c>
      <c r="R22" s="12">
        <f t="shared" si="9"/>
        <v>0</v>
      </c>
    </row>
    <row r="23" spans="4:21" s="57" customFormat="1" ht="15.75">
      <c r="D23" s="23" t="b">
        <f>AND($D$1=2,$D$7=1,'Impianti Titolo II'!$C$3&lt;=3,'Impianti Titolo II'!$C$3&gt;=1)</f>
        <v>0</v>
      </c>
      <c r="E23" s="29" t="s">
        <v>7</v>
      </c>
      <c r="F23" s="58">
        <v>182</v>
      </c>
      <c r="G23" s="59">
        <f t="shared" ref="G23:G28" si="10">F23-82</f>
        <v>100</v>
      </c>
      <c r="H23" s="102">
        <f t="shared" ref="H23:H28" si="11">IF(D23=TRUE,F23,0)</f>
        <v>0</v>
      </c>
      <c r="I23" s="102">
        <f t="shared" ref="I23:I28" si="12">IF(D23=TRUE,G23,0)</f>
        <v>0</v>
      </c>
      <c r="J23" s="23" t="b">
        <f>AND($D$1=2,$D$7=2,'Impianti Titolo II'!$C$3&lt;=3,'Impianti Titolo II'!$C$3&gt;=1)</f>
        <v>0</v>
      </c>
      <c r="K23" s="29" t="s">
        <v>7</v>
      </c>
      <c r="L23" s="58">
        <v>176</v>
      </c>
      <c r="M23" s="59">
        <f t="shared" ref="M23:M28" si="13">L23-82</f>
        <v>94</v>
      </c>
      <c r="N23" s="6">
        <f>IF(J23=TRUE,L23,0)</f>
        <v>0</v>
      </c>
      <c r="O23" s="6">
        <f>IF(J23=TRUE,M23,0)</f>
        <v>0</v>
      </c>
      <c r="P23" s="12" t="b">
        <f>AND($K$1=3,$L$1=3,$M$1&gt;20)</f>
        <v>0</v>
      </c>
      <c r="Q23" s="60">
        <v>5</v>
      </c>
      <c r="R23" s="12">
        <f t="shared" si="9"/>
        <v>0</v>
      </c>
    </row>
    <row r="24" spans="4:21" s="57" customFormat="1" ht="15.75">
      <c r="D24" s="23" t="b">
        <f>AND($D$1=2,$D$7=1,'Impianti Titolo II'!$C$3&lt;=20,'Impianti Titolo II'!$C$3&gt;3)</f>
        <v>0</v>
      </c>
      <c r="E24" s="29" t="s">
        <v>8</v>
      </c>
      <c r="F24" s="58">
        <v>171</v>
      </c>
      <c r="G24" s="59">
        <f t="shared" si="10"/>
        <v>89</v>
      </c>
      <c r="H24" s="102">
        <f t="shared" si="11"/>
        <v>0</v>
      </c>
      <c r="I24" s="102">
        <f t="shared" si="12"/>
        <v>0</v>
      </c>
      <c r="J24" s="23" t="b">
        <f>AND($D$1=2,$D$7=2,'Impianti Titolo II'!$C$3&lt;=20,'Impianti Titolo II'!$C$3&gt;3)</f>
        <v>0</v>
      </c>
      <c r="K24" s="29" t="s">
        <v>8</v>
      </c>
      <c r="L24" s="58">
        <v>165</v>
      </c>
      <c r="M24" s="59">
        <f t="shared" si="13"/>
        <v>83</v>
      </c>
      <c r="N24" s="6">
        <f t="shared" ref="N24:N28" si="14">IF(J24=TRUE,L24,0)</f>
        <v>0</v>
      </c>
      <c r="O24" s="6">
        <f t="shared" ref="O24:O28" si="15">IF(J24=TRUE,M24,0)</f>
        <v>0</v>
      </c>
      <c r="P24" s="12" t="b">
        <f>AND($K$1=3,$L$1=4,$M$1&gt;20)</f>
        <v>0</v>
      </c>
      <c r="Q24" s="60">
        <v>10</v>
      </c>
      <c r="R24" s="12">
        <f t="shared" si="9"/>
        <v>0</v>
      </c>
    </row>
    <row r="25" spans="4:21" s="57" customFormat="1" ht="15.75">
      <c r="D25" s="23" t="b">
        <f>AND($D$1=2,$D$7=1,'Impianti Titolo II'!$C$3&lt;=200,'Impianti Titolo II'!$C$3&gt;20)</f>
        <v>0</v>
      </c>
      <c r="E25" s="29" t="s">
        <v>9</v>
      </c>
      <c r="F25" s="58">
        <v>157</v>
      </c>
      <c r="G25" s="59">
        <f t="shared" si="10"/>
        <v>75</v>
      </c>
      <c r="H25" s="102">
        <f t="shared" si="11"/>
        <v>0</v>
      </c>
      <c r="I25" s="102">
        <f t="shared" si="12"/>
        <v>0</v>
      </c>
      <c r="J25" s="23" t="b">
        <f>AND($D$1=2,$D$7=2,'Impianti Titolo II'!$C$3&lt;=200,'Impianti Titolo II'!$C$3&gt;20)</f>
        <v>0</v>
      </c>
      <c r="K25" s="29" t="s">
        <v>9</v>
      </c>
      <c r="L25" s="58">
        <v>151</v>
      </c>
      <c r="M25" s="59">
        <f t="shared" si="13"/>
        <v>69</v>
      </c>
      <c r="N25" s="6">
        <f t="shared" si="14"/>
        <v>0</v>
      </c>
      <c r="O25" s="6">
        <f t="shared" si="15"/>
        <v>0</v>
      </c>
      <c r="P25" s="12"/>
      <c r="Q25" s="60"/>
      <c r="R25" s="12"/>
    </row>
    <row r="26" spans="4:21" s="53" customFormat="1" ht="22.5" customHeight="1">
      <c r="D26" s="23" t="b">
        <f>AND($D$1=2,$D$7=1,'Impianti Titolo II'!$C$3&lt;=1000,'Impianti Titolo II'!$C$3&gt;200)</f>
        <v>0</v>
      </c>
      <c r="E26" s="29" t="s">
        <v>10</v>
      </c>
      <c r="F26" s="54">
        <v>130</v>
      </c>
      <c r="G26" s="55">
        <f t="shared" si="10"/>
        <v>48</v>
      </c>
      <c r="H26" s="102">
        <f t="shared" si="11"/>
        <v>0</v>
      </c>
      <c r="I26" s="102">
        <f t="shared" si="12"/>
        <v>0</v>
      </c>
      <c r="J26" s="23" t="b">
        <f>AND($D$1=2,$D$7=2,'Impianti Titolo II'!$C$3&lt;=1000,'Impianti Titolo II'!$C$3&gt;200)</f>
        <v>0</v>
      </c>
      <c r="K26" s="29" t="s">
        <v>10</v>
      </c>
      <c r="L26" s="54">
        <v>124</v>
      </c>
      <c r="M26" s="55">
        <f t="shared" si="13"/>
        <v>42</v>
      </c>
      <c r="N26" s="6">
        <f t="shared" si="14"/>
        <v>0</v>
      </c>
      <c r="O26" s="6">
        <f t="shared" si="15"/>
        <v>0</v>
      </c>
      <c r="Q26" s="56"/>
    </row>
    <row r="27" spans="4:21" s="57" customFormat="1" ht="15.75">
      <c r="D27" s="23" t="b">
        <f>AND($D$1=2,$D$7=1,'Impianti Titolo II'!$C$3&lt;=5000,'Impianti Titolo II'!$C$3&gt;1000)</f>
        <v>0</v>
      </c>
      <c r="E27" s="29" t="s">
        <v>11</v>
      </c>
      <c r="F27" s="58">
        <v>118</v>
      </c>
      <c r="G27" s="59">
        <f t="shared" si="10"/>
        <v>36</v>
      </c>
      <c r="H27" s="102">
        <f t="shared" si="11"/>
        <v>0</v>
      </c>
      <c r="I27" s="102">
        <f t="shared" si="12"/>
        <v>0</v>
      </c>
      <c r="J27" s="23" t="b">
        <f>AND($D$1=2,$D$7=2,'Impianti Titolo II'!$C$3&lt;=5000,'Impianti Titolo II'!$C$3&gt;1000)</f>
        <v>0</v>
      </c>
      <c r="K27" s="29" t="s">
        <v>11</v>
      </c>
      <c r="L27" s="58">
        <v>113</v>
      </c>
      <c r="M27" s="59">
        <f t="shared" si="13"/>
        <v>31</v>
      </c>
      <c r="N27" s="6">
        <f t="shared" si="14"/>
        <v>0</v>
      </c>
      <c r="O27" s="6">
        <f t="shared" si="15"/>
        <v>0</v>
      </c>
      <c r="Q27" s="60"/>
      <c r="R27" s="63">
        <f>SUM(R1:R26)</f>
        <v>40</v>
      </c>
    </row>
    <row r="28" spans="4:21" s="57" customFormat="1" ht="16.5" thickBot="1">
      <c r="D28" s="30" t="b">
        <f>AND($D$1=2,$D$7=1,'Impianti Titolo II'!$C$3&gt;=5000)</f>
        <v>0</v>
      </c>
      <c r="E28" s="39" t="s">
        <v>12</v>
      </c>
      <c r="F28" s="64">
        <v>112</v>
      </c>
      <c r="G28" s="65">
        <f t="shared" si="10"/>
        <v>30</v>
      </c>
      <c r="H28" s="102">
        <f t="shared" si="11"/>
        <v>0</v>
      </c>
      <c r="I28" s="102">
        <f t="shared" si="12"/>
        <v>0</v>
      </c>
      <c r="J28" s="30" t="b">
        <f>AND($D$1=2,$D$7=2,'Impianti Titolo II'!$C$3&gt;=5000)</f>
        <v>0</v>
      </c>
      <c r="K28" s="39" t="s">
        <v>12</v>
      </c>
      <c r="L28" s="64">
        <v>106</v>
      </c>
      <c r="M28" s="65">
        <f t="shared" si="13"/>
        <v>24</v>
      </c>
      <c r="N28" s="6">
        <f t="shared" si="14"/>
        <v>0</v>
      </c>
      <c r="O28" s="6">
        <f t="shared" si="15"/>
        <v>0</v>
      </c>
      <c r="Q28" s="60"/>
    </row>
    <row r="29" spans="4:21" s="57" customFormat="1" ht="16.5" thickBot="1">
      <c r="F29" s="60"/>
      <c r="G29" s="60"/>
      <c r="H29" s="66">
        <f>SUM(H23:H28)</f>
        <v>0</v>
      </c>
      <c r="I29" s="67">
        <f>SUM(I23:I28)</f>
        <v>0</v>
      </c>
      <c r="K29" s="60"/>
      <c r="L29" s="60"/>
      <c r="M29" s="60"/>
      <c r="N29" s="66">
        <f>SUM(N23:N28)</f>
        <v>0</v>
      </c>
      <c r="O29" s="66">
        <f>SUM(O23:O28)</f>
        <v>0</v>
      </c>
      <c r="Q29" s="60"/>
    </row>
    <row r="30" spans="4:21" s="57" customFormat="1" ht="15.75">
      <c r="Q30" s="68" t="s">
        <v>82</v>
      </c>
      <c r="S30" s="57">
        <f t="shared" ref="S30:S39" si="16">IF($R$41=T30,U30,0)</f>
        <v>0</v>
      </c>
      <c r="T30" s="57">
        <v>1</v>
      </c>
      <c r="U30" s="57">
        <v>10</v>
      </c>
    </row>
    <row r="31" spans="4:21" s="57" customFormat="1" ht="16.5" thickBot="1">
      <c r="Q31" s="68" t="s">
        <v>73</v>
      </c>
      <c r="S31" s="57">
        <f t="shared" si="16"/>
        <v>0</v>
      </c>
      <c r="T31" s="57">
        <v>2</v>
      </c>
      <c r="U31" s="57">
        <v>20</v>
      </c>
    </row>
    <row r="32" spans="4:21" s="57" customFormat="1" ht="15.75">
      <c r="D32" s="103"/>
      <c r="E32" s="104"/>
      <c r="F32" s="105" t="s">
        <v>2</v>
      </c>
      <c r="G32" s="106" t="s">
        <v>3</v>
      </c>
      <c r="H32" s="56"/>
      <c r="I32" s="56"/>
      <c r="J32" s="103"/>
      <c r="K32" s="104"/>
      <c r="L32" s="105" t="s">
        <v>2</v>
      </c>
      <c r="M32" s="106" t="s">
        <v>3</v>
      </c>
      <c r="N32" s="54"/>
      <c r="O32" s="54"/>
      <c r="Q32" s="68" t="s">
        <v>74</v>
      </c>
      <c r="S32" s="57">
        <f t="shared" si="16"/>
        <v>0</v>
      </c>
      <c r="T32" s="57">
        <v>3</v>
      </c>
      <c r="U32" s="57">
        <v>30</v>
      </c>
    </row>
    <row r="33" spans="4:21" s="57" customFormat="1" ht="15.75">
      <c r="D33" s="23" t="b">
        <f>AND($D$1=3,$D$7=1,'Impianti Titolo II'!$C$3&lt;=3,'Impianti Titolo II'!$C$3&gt;=1)</f>
        <v>0</v>
      </c>
      <c r="E33" s="29" t="s">
        <v>7</v>
      </c>
      <c r="F33" s="58">
        <v>157</v>
      </c>
      <c r="G33" s="59">
        <f t="shared" ref="G33:G38" si="17">F33-82</f>
        <v>75</v>
      </c>
      <c r="H33" s="102">
        <f t="shared" ref="H33:H38" si="18">IF(D33=TRUE,F33,0)</f>
        <v>0</v>
      </c>
      <c r="I33" s="102">
        <f t="shared" ref="I33:I38" si="19">IF(D33=TRUE,G33,0)</f>
        <v>0</v>
      </c>
      <c r="J33" s="23" t="b">
        <f>AND($D$1=3,$D$7=2,'Impianti Titolo II'!$C$3&lt;=3,'Impianti Titolo II'!$C$3&gt;=1)</f>
        <v>0</v>
      </c>
      <c r="K33" s="29" t="s">
        <v>7</v>
      </c>
      <c r="L33" s="58">
        <v>152</v>
      </c>
      <c r="M33" s="59">
        <f t="shared" ref="M33:M38" si="20">L33-82</f>
        <v>70</v>
      </c>
      <c r="N33" s="6">
        <f>IF(J33=TRUE,L33,0)</f>
        <v>0</v>
      </c>
      <c r="O33" s="6">
        <f>IF(J33=TRUE,M33,0)</f>
        <v>0</v>
      </c>
      <c r="Q33" s="68" t="s">
        <v>75</v>
      </c>
      <c r="S33" s="57">
        <f t="shared" si="16"/>
        <v>0</v>
      </c>
      <c r="T33" s="57">
        <v>4</v>
      </c>
      <c r="U33" s="57">
        <v>40</v>
      </c>
    </row>
    <row r="34" spans="4:21" s="57" customFormat="1" ht="15.75">
      <c r="D34" s="23" t="b">
        <f>AND($D$1=3,$D$7=1,'Impianti Titolo II'!$C$3&lt;=20,'Impianti Titolo II'!$C$3&gt;3)</f>
        <v>0</v>
      </c>
      <c r="E34" s="29" t="s">
        <v>8</v>
      </c>
      <c r="F34" s="58">
        <v>149</v>
      </c>
      <c r="G34" s="59">
        <f t="shared" si="17"/>
        <v>67</v>
      </c>
      <c r="H34" s="102">
        <f t="shared" si="18"/>
        <v>0</v>
      </c>
      <c r="I34" s="102">
        <f t="shared" si="19"/>
        <v>0</v>
      </c>
      <c r="J34" s="23" t="b">
        <f>AND($D$1=3,$D$7=2,'Impianti Titolo II'!$C$3&lt;=20,'Impianti Titolo II'!$C$3&gt;3)</f>
        <v>0</v>
      </c>
      <c r="K34" s="29" t="s">
        <v>8</v>
      </c>
      <c r="L34" s="58">
        <v>144</v>
      </c>
      <c r="M34" s="59">
        <f t="shared" si="20"/>
        <v>62</v>
      </c>
      <c r="N34" s="6">
        <f t="shared" ref="N34:N38" si="21">IF(J34=TRUE,L34,0)</f>
        <v>0</v>
      </c>
      <c r="O34" s="6">
        <f t="shared" ref="O34:O38" si="22">IF(J34=TRUE,M34,0)</f>
        <v>0</v>
      </c>
      <c r="Q34" s="68" t="s">
        <v>76</v>
      </c>
      <c r="S34" s="57">
        <f t="shared" si="16"/>
        <v>50</v>
      </c>
      <c r="T34" s="57">
        <v>5</v>
      </c>
      <c r="U34" s="57">
        <v>50</v>
      </c>
    </row>
    <row r="35" spans="4:21" ht="15.75">
      <c r="D35" s="23" t="b">
        <f>AND($D$1=3,$D$7=1,'Impianti Titolo II'!$C$3&lt;=200,'Impianti Titolo II'!$C$3&gt;20)</f>
        <v>0</v>
      </c>
      <c r="E35" s="29" t="s">
        <v>9</v>
      </c>
      <c r="F35" s="58">
        <v>141</v>
      </c>
      <c r="G35" s="59">
        <f t="shared" si="17"/>
        <v>59</v>
      </c>
      <c r="H35" s="102">
        <f t="shared" si="18"/>
        <v>0</v>
      </c>
      <c r="I35" s="102">
        <f t="shared" si="19"/>
        <v>0</v>
      </c>
      <c r="J35" s="23" t="b">
        <f>AND($D$1=3,$D$7=2,'Impianti Titolo II'!$C$3&lt;=200,'Impianti Titolo II'!$C$3&gt;20)</f>
        <v>0</v>
      </c>
      <c r="K35" s="29" t="s">
        <v>9</v>
      </c>
      <c r="L35" s="58">
        <v>136</v>
      </c>
      <c r="M35" s="59">
        <f t="shared" si="20"/>
        <v>54</v>
      </c>
      <c r="N35" s="6">
        <f t="shared" si="21"/>
        <v>0</v>
      </c>
      <c r="O35" s="6">
        <f t="shared" si="22"/>
        <v>0</v>
      </c>
      <c r="Q35" s="68" t="s">
        <v>77</v>
      </c>
      <c r="S35" s="57">
        <f t="shared" si="16"/>
        <v>0</v>
      </c>
      <c r="T35" s="57">
        <v>6</v>
      </c>
      <c r="U35" s="57">
        <v>60</v>
      </c>
    </row>
    <row r="36" spans="4:21" ht="15.75">
      <c r="D36" s="23" t="b">
        <f>AND($D$1=3,$D$7=1,'Impianti Titolo II'!$C$3&lt;=1000,'Impianti Titolo II'!$C$3&gt;200)</f>
        <v>0</v>
      </c>
      <c r="E36" s="29" t="s">
        <v>10</v>
      </c>
      <c r="F36" s="54">
        <v>118</v>
      </c>
      <c r="G36" s="55">
        <f t="shared" si="17"/>
        <v>36</v>
      </c>
      <c r="H36" s="102">
        <f t="shared" si="18"/>
        <v>0</v>
      </c>
      <c r="I36" s="102">
        <f t="shared" si="19"/>
        <v>0</v>
      </c>
      <c r="J36" s="23" t="b">
        <f>AND($D$1=3,$D$7=2,'Impianti Titolo II'!$C$3&lt;=1000,'Impianti Titolo II'!$C$3&gt;200)</f>
        <v>0</v>
      </c>
      <c r="K36" s="29" t="s">
        <v>10</v>
      </c>
      <c r="L36" s="54">
        <v>113</v>
      </c>
      <c r="M36" s="55">
        <f t="shared" si="20"/>
        <v>31</v>
      </c>
      <c r="N36" s="6">
        <f t="shared" si="21"/>
        <v>0</v>
      </c>
      <c r="O36" s="6">
        <f t="shared" si="22"/>
        <v>0</v>
      </c>
      <c r="Q36" s="68" t="s">
        <v>78</v>
      </c>
      <c r="S36" s="57">
        <f t="shared" si="16"/>
        <v>0</v>
      </c>
      <c r="T36" s="57">
        <v>7</v>
      </c>
      <c r="U36" s="57">
        <v>70</v>
      </c>
    </row>
    <row r="37" spans="4:21" ht="15.75">
      <c r="D37" s="23" t="b">
        <f>AND($D$1=3,$D$7=1,'Impianti Titolo II'!$C$3&lt;=5000,'Impianti Titolo II'!$C$3&gt;1000)</f>
        <v>0</v>
      </c>
      <c r="E37" s="29" t="s">
        <v>11</v>
      </c>
      <c r="F37" s="58">
        <v>110</v>
      </c>
      <c r="G37" s="59">
        <f t="shared" si="17"/>
        <v>28</v>
      </c>
      <c r="H37" s="102">
        <f t="shared" si="18"/>
        <v>0</v>
      </c>
      <c r="I37" s="102">
        <f t="shared" si="19"/>
        <v>0</v>
      </c>
      <c r="J37" s="23" t="b">
        <f>AND($D$1=3,$D$7=2,'Impianti Titolo II'!$C$3&lt;=5000,'Impianti Titolo II'!$C$3&gt;1000)</f>
        <v>0</v>
      </c>
      <c r="K37" s="29" t="s">
        <v>11</v>
      </c>
      <c r="L37" s="58">
        <v>106</v>
      </c>
      <c r="M37" s="59">
        <f t="shared" si="20"/>
        <v>24</v>
      </c>
      <c r="N37" s="6">
        <f t="shared" si="21"/>
        <v>0</v>
      </c>
      <c r="O37" s="6">
        <f t="shared" si="22"/>
        <v>0</v>
      </c>
      <c r="Q37" s="68" t="s">
        <v>79</v>
      </c>
      <c r="S37" s="57">
        <f t="shared" si="16"/>
        <v>0</v>
      </c>
      <c r="T37" s="57">
        <v>8</v>
      </c>
      <c r="U37" s="57">
        <v>80</v>
      </c>
    </row>
    <row r="38" spans="4:21" ht="16.5" thickBot="1">
      <c r="D38" s="30" t="b">
        <f>AND($D$1=3,$D$7=1,'Impianti Titolo II'!$C$3&gt;=5000)</f>
        <v>0</v>
      </c>
      <c r="E38" s="39" t="s">
        <v>12</v>
      </c>
      <c r="F38" s="64">
        <v>104</v>
      </c>
      <c r="G38" s="65">
        <f t="shared" si="17"/>
        <v>22</v>
      </c>
      <c r="H38" s="102">
        <f t="shared" si="18"/>
        <v>0</v>
      </c>
      <c r="I38" s="102">
        <f t="shared" si="19"/>
        <v>0</v>
      </c>
      <c r="J38" s="30" t="b">
        <f>AND($D$1=3,$D$7=2,'Impianti Titolo II'!$C$3&gt;=5000)</f>
        <v>0</v>
      </c>
      <c r="K38" s="39" t="s">
        <v>12</v>
      </c>
      <c r="L38" s="64">
        <v>99</v>
      </c>
      <c r="M38" s="65">
        <f t="shared" si="20"/>
        <v>17</v>
      </c>
      <c r="N38" s="6">
        <f t="shared" si="21"/>
        <v>0</v>
      </c>
      <c r="O38" s="6">
        <f t="shared" si="22"/>
        <v>0</v>
      </c>
      <c r="Q38" s="68" t="s">
        <v>80</v>
      </c>
      <c r="S38" s="57">
        <f t="shared" si="16"/>
        <v>0</v>
      </c>
      <c r="T38" s="57">
        <v>9</v>
      </c>
      <c r="U38" s="57">
        <v>90</v>
      </c>
    </row>
    <row r="39" spans="4:21" ht="16.5" thickBot="1">
      <c r="D39" s="57"/>
      <c r="E39" s="57"/>
      <c r="F39" s="60"/>
      <c r="G39" s="60"/>
      <c r="H39" s="66">
        <f>SUM(H33:H38)</f>
        <v>0</v>
      </c>
      <c r="I39" s="67">
        <f>SUM(I33:I38)</f>
        <v>0</v>
      </c>
      <c r="J39" s="57"/>
      <c r="K39" s="60"/>
      <c r="L39" s="60"/>
      <c r="M39" s="60"/>
      <c r="N39" s="66">
        <f>SUM(N33:N38)</f>
        <v>0</v>
      </c>
      <c r="O39" s="66">
        <f>SUM(O33:O38)</f>
        <v>0</v>
      </c>
      <c r="Q39" s="68" t="s">
        <v>81</v>
      </c>
      <c r="S39" s="57">
        <f t="shared" si="16"/>
        <v>0</v>
      </c>
      <c r="T39" s="57">
        <v>10</v>
      </c>
      <c r="U39" s="57">
        <v>100</v>
      </c>
    </row>
    <row r="40" spans="4:21" ht="15.75">
      <c r="D40" s="3"/>
      <c r="E40" s="3"/>
      <c r="F40" s="6"/>
      <c r="G40" s="6"/>
      <c r="H40" s="6"/>
      <c r="I40" s="6"/>
      <c r="J40" s="3"/>
      <c r="K40" s="6"/>
      <c r="L40" s="6"/>
      <c r="M40" s="6"/>
      <c r="N40" s="6"/>
      <c r="O40" s="6"/>
      <c r="Q40" s="68"/>
      <c r="S40" s="57"/>
    </row>
    <row r="41" spans="4:21" ht="15.75">
      <c r="Q41" s="68"/>
      <c r="R41" s="7">
        <v>5</v>
      </c>
      <c r="S41" s="107">
        <f>SUM(S30:S39)</f>
        <v>50</v>
      </c>
    </row>
    <row r="42" spans="4:21" ht="15.75">
      <c r="Q42" s="68"/>
      <c r="S42" s="57"/>
    </row>
    <row r="43" spans="4:21" ht="16.5" thickBot="1">
      <c r="Q43" s="68"/>
      <c r="S43" s="57"/>
    </row>
    <row r="44" spans="4:21" ht="15.75">
      <c r="D44" s="103"/>
      <c r="E44" s="104"/>
      <c r="F44" s="105" t="s">
        <v>2</v>
      </c>
      <c r="G44" s="106" t="s">
        <v>3</v>
      </c>
      <c r="H44" s="56"/>
      <c r="I44" s="56"/>
      <c r="J44" s="103"/>
      <c r="K44" s="104"/>
      <c r="L44" s="105" t="s">
        <v>2</v>
      </c>
      <c r="M44" s="106" t="s">
        <v>3</v>
      </c>
      <c r="N44" s="54"/>
      <c r="O44" s="54"/>
      <c r="P44" s="102"/>
      <c r="Q44" s="68"/>
      <c r="S44" s="57"/>
    </row>
    <row r="45" spans="4:21" ht="15.75">
      <c r="D45" s="23" t="b">
        <f>AND($D$1=4,$D$7=1,'Impianti Titolo II'!$C$3&lt;=3,'Impianti Titolo II'!$C$3&gt;=1)</f>
        <v>0</v>
      </c>
      <c r="E45" s="29" t="s">
        <v>7</v>
      </c>
      <c r="F45" s="58">
        <v>144</v>
      </c>
      <c r="G45" s="59">
        <f t="shared" ref="G45:G50" si="23">F45-82</f>
        <v>62</v>
      </c>
      <c r="H45" s="102">
        <f t="shared" ref="H45:H50" si="24">IF(D45=TRUE,F45,0)</f>
        <v>0</v>
      </c>
      <c r="I45" s="102">
        <f t="shared" ref="I45:I50" si="25">IF(D45=TRUE,G45,0)</f>
        <v>0</v>
      </c>
      <c r="J45" s="23" t="b">
        <f>AND($D$1=4,$D$7=2,'Impianti Titolo II'!$C$3&lt;=3,'Impianti Titolo II'!$C$3&gt;=1)</f>
        <v>0</v>
      </c>
      <c r="K45" s="29" t="s">
        <v>7</v>
      </c>
      <c r="L45" s="58">
        <v>140</v>
      </c>
      <c r="M45" s="59">
        <f t="shared" ref="M45:M50" si="26">L45-82</f>
        <v>58</v>
      </c>
      <c r="N45" s="6">
        <f>IF(J45=TRUE,L45,0)</f>
        <v>0</v>
      </c>
      <c r="O45" s="6">
        <f>IF(J45=TRUE,M45,0)</f>
        <v>0</v>
      </c>
      <c r="P45" s="102"/>
      <c r="Q45" s="68"/>
      <c r="S45" s="57"/>
    </row>
    <row r="46" spans="4:21" ht="15.75">
      <c r="D46" s="23" t="b">
        <f>AND($D$1=4,$D$7=1,'Impianti Titolo II'!$C$3&lt;=20,'Impianti Titolo II'!$C$3&gt;3)</f>
        <v>0</v>
      </c>
      <c r="E46" s="29" t="s">
        <v>8</v>
      </c>
      <c r="F46" s="58">
        <v>137</v>
      </c>
      <c r="G46" s="59">
        <f t="shared" si="23"/>
        <v>55</v>
      </c>
      <c r="H46" s="102">
        <f t="shared" si="24"/>
        <v>0</v>
      </c>
      <c r="I46" s="102">
        <f t="shared" si="25"/>
        <v>0</v>
      </c>
      <c r="J46" s="23" t="b">
        <f>AND($D$1=4,$D$7=2,'Impianti Titolo II'!$C$3&lt;=20,'Impianti Titolo II'!$C$3&gt;3)</f>
        <v>0</v>
      </c>
      <c r="K46" s="29" t="s">
        <v>8</v>
      </c>
      <c r="L46" s="58">
        <v>133</v>
      </c>
      <c r="M46" s="59">
        <f t="shared" si="26"/>
        <v>51</v>
      </c>
      <c r="N46" s="6">
        <f t="shared" ref="N46:N50" si="27">IF(J46=TRUE,L46,0)</f>
        <v>0</v>
      </c>
      <c r="O46" s="6">
        <f t="shared" ref="O46:O50" si="28">IF(J46=TRUE,M46,0)</f>
        <v>0</v>
      </c>
      <c r="Q46" s="68" t="s">
        <v>29</v>
      </c>
      <c r="S46" s="57"/>
    </row>
    <row r="47" spans="4:21" ht="15.75">
      <c r="D47" s="23" t="b">
        <f>AND($D$1=4,$D$7=1,'Impianti Titolo II'!$C$3&lt;=200,'Impianti Titolo II'!$C$3&gt;20)</f>
        <v>0</v>
      </c>
      <c r="E47" s="29" t="s">
        <v>9</v>
      </c>
      <c r="F47" s="58">
        <v>131</v>
      </c>
      <c r="G47" s="59">
        <f t="shared" si="23"/>
        <v>49</v>
      </c>
      <c r="H47" s="102">
        <f t="shared" si="24"/>
        <v>0</v>
      </c>
      <c r="I47" s="102">
        <f t="shared" si="25"/>
        <v>0</v>
      </c>
      <c r="J47" s="23" t="b">
        <f>AND($D$1=4,$D$7=2,'Impianti Titolo II'!$C$3&lt;=200,'Impianti Titolo II'!$C$3&gt;20)</f>
        <v>0</v>
      </c>
      <c r="K47" s="29" t="s">
        <v>9</v>
      </c>
      <c r="L47" s="58">
        <v>126</v>
      </c>
      <c r="M47" s="59">
        <f t="shared" si="26"/>
        <v>44</v>
      </c>
      <c r="N47" s="6">
        <f t="shared" si="27"/>
        <v>0</v>
      </c>
      <c r="O47" s="6">
        <f t="shared" si="28"/>
        <v>0</v>
      </c>
      <c r="Q47" s="68" t="s">
        <v>85</v>
      </c>
      <c r="S47" s="57"/>
    </row>
    <row r="48" spans="4:21" ht="15.75">
      <c r="D48" s="23" t="b">
        <f>AND($D$1=4,$D$7=1,'Impianti Titolo II'!$C$3&lt;=1000,'Impianti Titolo II'!$C$3&gt;200)</f>
        <v>0</v>
      </c>
      <c r="E48" s="29" t="s">
        <v>10</v>
      </c>
      <c r="F48" s="54">
        <v>111</v>
      </c>
      <c r="G48" s="55">
        <f t="shared" si="23"/>
        <v>29</v>
      </c>
      <c r="H48" s="102">
        <f t="shared" si="24"/>
        <v>0</v>
      </c>
      <c r="I48" s="102">
        <f t="shared" si="25"/>
        <v>0</v>
      </c>
      <c r="J48" s="23" t="b">
        <f>AND($D$1=4,$D$7=2,'Impianti Titolo II'!$C$3&lt;=1000,'Impianti Titolo II'!$C$3&gt;200)</f>
        <v>0</v>
      </c>
      <c r="K48" s="29" t="s">
        <v>10</v>
      </c>
      <c r="L48" s="54">
        <v>107</v>
      </c>
      <c r="M48" s="55">
        <f t="shared" si="26"/>
        <v>25</v>
      </c>
      <c r="N48" s="6">
        <f t="shared" si="27"/>
        <v>0</v>
      </c>
      <c r="O48" s="6">
        <f t="shared" si="28"/>
        <v>0</v>
      </c>
      <c r="Q48" s="68"/>
      <c r="S48" s="57"/>
    </row>
    <row r="49" spans="4:19" ht="15.75">
      <c r="D49" s="23" t="b">
        <f>AND($D$1=4,$D$7=1,'Impianti Titolo II'!$C$3&lt;=5000,'Impianti Titolo II'!$C$3&gt;1000)</f>
        <v>0</v>
      </c>
      <c r="E49" s="29" t="s">
        <v>11</v>
      </c>
      <c r="F49" s="58">
        <v>105</v>
      </c>
      <c r="G49" s="59">
        <f t="shared" si="23"/>
        <v>23</v>
      </c>
      <c r="H49" s="102">
        <f t="shared" si="24"/>
        <v>0</v>
      </c>
      <c r="I49" s="102">
        <f t="shared" si="25"/>
        <v>0</v>
      </c>
      <c r="J49" s="23" t="b">
        <f>AND($D$1=4,$D$7=2,'Impianti Titolo II'!$C$3&lt;=5000,'Impianti Titolo II'!$C$3&gt;1000)</f>
        <v>0</v>
      </c>
      <c r="K49" s="29" t="s">
        <v>11</v>
      </c>
      <c r="L49" s="58">
        <v>101</v>
      </c>
      <c r="M49" s="59">
        <f t="shared" si="26"/>
        <v>19</v>
      </c>
      <c r="N49" s="6">
        <f t="shared" si="27"/>
        <v>0</v>
      </c>
      <c r="O49" s="6">
        <f t="shared" si="28"/>
        <v>0</v>
      </c>
      <c r="Q49" s="68">
        <v>1</v>
      </c>
      <c r="S49" s="57"/>
    </row>
    <row r="50" spans="4:19" ht="16.5" thickBot="1">
      <c r="D50" s="30" t="b">
        <f>AND($D$1=4,$D$7=1,'Impianti Titolo II'!$C$3&gt;=5000)</f>
        <v>0</v>
      </c>
      <c r="E50" s="39" t="s">
        <v>12</v>
      </c>
      <c r="F50" s="64">
        <v>99</v>
      </c>
      <c r="G50" s="65">
        <f t="shared" si="23"/>
        <v>17</v>
      </c>
      <c r="H50" s="102">
        <f t="shared" si="24"/>
        <v>0</v>
      </c>
      <c r="I50" s="102">
        <f t="shared" si="25"/>
        <v>0</v>
      </c>
      <c r="J50" s="30" t="b">
        <f>AND($D$1=4,$D$7=2,'Impianti Titolo II'!$C$3&gt;=5000)</f>
        <v>0</v>
      </c>
      <c r="K50" s="39" t="s">
        <v>12</v>
      </c>
      <c r="L50" s="64">
        <v>95</v>
      </c>
      <c r="M50" s="65">
        <f t="shared" si="26"/>
        <v>13</v>
      </c>
      <c r="N50" s="6">
        <f t="shared" si="27"/>
        <v>0</v>
      </c>
      <c r="O50" s="6">
        <f t="shared" si="28"/>
        <v>0</v>
      </c>
    </row>
    <row r="51" spans="4:19" ht="16.5" thickBot="1">
      <c r="D51" s="57"/>
      <c r="E51" s="57"/>
      <c r="F51" s="60"/>
      <c r="G51" s="60"/>
      <c r="H51" s="66">
        <f>SUM(H45:H50)</f>
        <v>0</v>
      </c>
      <c r="I51" s="67">
        <f>SUM(I45:I50)</f>
        <v>0</v>
      </c>
      <c r="J51" s="57"/>
      <c r="K51" s="60"/>
      <c r="L51" s="60"/>
      <c r="M51" s="60"/>
      <c r="N51" s="66">
        <f>SUM(N45:N50)</f>
        <v>0</v>
      </c>
      <c r="O51" s="66">
        <f>SUM(O45:O50)</f>
        <v>0</v>
      </c>
      <c r="P51" s="22"/>
      <c r="Q51" s="22" t="s">
        <v>29</v>
      </c>
      <c r="R51" s="22"/>
    </row>
    <row r="52" spans="4:19">
      <c r="D52" s="3"/>
      <c r="E52" s="29"/>
      <c r="F52" s="6"/>
      <c r="G52" s="6"/>
      <c r="H52" s="6"/>
      <c r="I52" s="6"/>
      <c r="J52" s="3"/>
      <c r="K52" s="29"/>
      <c r="L52" s="6"/>
      <c r="M52" s="6"/>
      <c r="N52" s="6"/>
      <c r="O52" s="6"/>
      <c r="Q52" s="114" t="b">
        <f>AND(Q49=1,'Impianti Titolo II'!C28&lt;'Impianti Titolo II'!C27)</f>
        <v>1</v>
      </c>
      <c r="S52" s="7">
        <f>IF(Q52=TRUE,'Impianti Titolo II'!$C$28/100*'Calcoli Titolo II'!$S$41,0)</f>
        <v>15000</v>
      </c>
    </row>
    <row r="53" spans="4:19">
      <c r="D53" s="3"/>
      <c r="E53" s="29"/>
      <c r="F53" s="6"/>
      <c r="G53" s="6"/>
      <c r="H53" s="6"/>
      <c r="I53" s="6"/>
      <c r="J53" s="3"/>
      <c r="K53" s="29"/>
      <c r="L53" s="6"/>
      <c r="M53" s="6"/>
      <c r="N53" s="6"/>
      <c r="O53" s="6"/>
      <c r="Q53" s="114" t="b">
        <f>AND(Q49=1,'Impianti Titolo II'!C28&gt;'Impianti Titolo II'!C27)</f>
        <v>0</v>
      </c>
      <c r="S53" s="7" t="b">
        <f>IF(Q53=TRUE,'Impianti Titolo II'!$C$27/100*'Calcoli Titolo II'!$S$41)</f>
        <v>0</v>
      </c>
    </row>
    <row r="54" spans="4:19">
      <c r="D54" s="3"/>
      <c r="E54" s="3"/>
      <c r="F54" s="6"/>
      <c r="G54" s="6"/>
      <c r="H54" s="6"/>
      <c r="I54" s="6"/>
      <c r="J54" s="3"/>
      <c r="K54" s="6"/>
      <c r="L54" s="6"/>
      <c r="M54" s="6"/>
      <c r="N54" s="6"/>
      <c r="O54" s="6"/>
    </row>
    <row r="55" spans="4:19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S55" s="7">
        <f>SUM(S52:S54)</f>
        <v>15000</v>
      </c>
    </row>
    <row r="57" spans="4:19" ht="15.75" thickBot="1"/>
    <row r="58" spans="4:19" ht="15.75">
      <c r="D58" s="103"/>
      <c r="E58" s="104"/>
      <c r="F58" s="105" t="s">
        <v>2</v>
      </c>
      <c r="G58" s="106" t="s">
        <v>3</v>
      </c>
      <c r="H58" s="56"/>
      <c r="I58" s="56"/>
      <c r="J58" s="103"/>
      <c r="K58" s="104"/>
      <c r="L58" s="105" t="s">
        <v>2</v>
      </c>
      <c r="M58" s="106" t="s">
        <v>3</v>
      </c>
      <c r="N58" s="54"/>
      <c r="O58" s="54"/>
      <c r="P58" s="102"/>
    </row>
    <row r="59" spans="4:19" ht="15.75">
      <c r="D59" s="23" t="b">
        <f>AND($D$1=5,$D$7=1,'Impianti Titolo II'!$C$3&lt;=3,'Impianti Titolo II'!$C$3&gt;=1)</f>
        <v>0</v>
      </c>
      <c r="E59" s="29" t="s">
        <v>7</v>
      </c>
      <c r="F59" s="58">
        <v>133</v>
      </c>
      <c r="G59" s="59">
        <f t="shared" ref="G59:G64" si="29">F59-82</f>
        <v>51</v>
      </c>
      <c r="H59" s="60">
        <f t="shared" ref="H59:H64" si="30">IF(D59=TRUE,F59,0)</f>
        <v>0</v>
      </c>
      <c r="I59" s="102">
        <f t="shared" ref="I59:I64" si="31">IF(D59=TRUE,G59,0)</f>
        <v>0</v>
      </c>
      <c r="J59" s="23" t="b">
        <f>AND($D$1=5,$D$7=2,'Impianti Titolo II'!$C$3&lt;=3,'Impianti Titolo II'!$C$3&gt;=1)</f>
        <v>0</v>
      </c>
      <c r="K59" s="29" t="s">
        <v>7</v>
      </c>
      <c r="L59" s="58">
        <v>130</v>
      </c>
      <c r="M59" s="59">
        <f t="shared" ref="M59:M64" si="32">L59-82</f>
        <v>48</v>
      </c>
      <c r="N59" s="6">
        <f>IF(J59=TRUE,L59,0)</f>
        <v>0</v>
      </c>
      <c r="O59" s="6">
        <f>IF(J59=TRUE,M59,0)</f>
        <v>0</v>
      </c>
      <c r="P59" s="102"/>
    </row>
    <row r="60" spans="4:19" ht="15.75">
      <c r="D60" s="23" t="b">
        <f>AND($D$1=5,$D$7=1,'Impianti Titolo II'!$C$3&lt;=20,'Impianti Titolo II'!$C$3&gt;3)</f>
        <v>0</v>
      </c>
      <c r="E60" s="29" t="s">
        <v>8</v>
      </c>
      <c r="F60" s="58">
        <v>128</v>
      </c>
      <c r="G60" s="59">
        <f t="shared" si="29"/>
        <v>46</v>
      </c>
      <c r="H60" s="60">
        <f t="shared" si="30"/>
        <v>0</v>
      </c>
      <c r="I60" s="102">
        <f t="shared" si="31"/>
        <v>0</v>
      </c>
      <c r="J60" s="23" t="b">
        <f>AND($D$1=5,$D$7=2,'Impianti Titolo II'!$C$3&lt;=20,'Impianti Titolo II'!$C$3&gt;3)</f>
        <v>0</v>
      </c>
      <c r="K60" s="29" t="s">
        <v>8</v>
      </c>
      <c r="L60" s="58">
        <v>124</v>
      </c>
      <c r="M60" s="59">
        <f t="shared" si="32"/>
        <v>42</v>
      </c>
      <c r="N60" s="6">
        <f t="shared" ref="N60:N64" si="33">IF(J60=TRUE,L60,0)</f>
        <v>0</v>
      </c>
      <c r="O60" s="6">
        <f t="shared" ref="O60:O64" si="34">IF(J60=TRUE,M60,0)</f>
        <v>0</v>
      </c>
    </row>
    <row r="61" spans="4:19" ht="15.75">
      <c r="D61" s="23" t="b">
        <f>AND($D$1=5,$D$7=1,'Impianti Titolo II'!$C$3&lt;=200,'Impianti Titolo II'!$C$3&gt;20)</f>
        <v>0</v>
      </c>
      <c r="E61" s="29" t="s">
        <v>9</v>
      </c>
      <c r="F61" s="58">
        <v>122</v>
      </c>
      <c r="G61" s="59">
        <f t="shared" si="29"/>
        <v>40</v>
      </c>
      <c r="H61" s="60">
        <f t="shared" si="30"/>
        <v>0</v>
      </c>
      <c r="I61" s="102">
        <f t="shared" si="31"/>
        <v>0</v>
      </c>
      <c r="J61" s="23" t="b">
        <f>AND($D$1=5,$D$7=2,'Impianti Titolo II'!$C$3&lt;=200,'Impianti Titolo II'!$C$3&gt;20)</f>
        <v>0</v>
      </c>
      <c r="K61" s="29" t="s">
        <v>9</v>
      </c>
      <c r="L61" s="58">
        <v>118</v>
      </c>
      <c r="M61" s="59">
        <f t="shared" si="32"/>
        <v>36</v>
      </c>
      <c r="N61" s="6">
        <f t="shared" si="33"/>
        <v>0</v>
      </c>
      <c r="O61" s="6">
        <f t="shared" si="34"/>
        <v>0</v>
      </c>
    </row>
    <row r="62" spans="4:19" ht="15.75">
      <c r="D62" s="23" t="b">
        <f>AND($D$1=5,$D$7=1,'Impianti Titolo II'!$C$3&lt;=1000,'Impianti Titolo II'!$C$3&gt;200)</f>
        <v>0</v>
      </c>
      <c r="E62" s="29" t="s">
        <v>10</v>
      </c>
      <c r="F62" s="54">
        <v>106</v>
      </c>
      <c r="G62" s="55">
        <f t="shared" si="29"/>
        <v>24</v>
      </c>
      <c r="H62" s="56">
        <f t="shared" si="30"/>
        <v>0</v>
      </c>
      <c r="I62" s="102">
        <f t="shared" si="31"/>
        <v>0</v>
      </c>
      <c r="J62" s="23" t="b">
        <f>AND($D$1=5,$D$7=2,'Impianti Titolo II'!$C$3&lt;=1000,'Impianti Titolo II'!$C$3&gt;200)</f>
        <v>0</v>
      </c>
      <c r="K62" s="29" t="s">
        <v>10</v>
      </c>
      <c r="L62" s="54">
        <v>102</v>
      </c>
      <c r="M62" s="55">
        <f t="shared" si="32"/>
        <v>20</v>
      </c>
      <c r="N62" s="6">
        <f t="shared" si="33"/>
        <v>0</v>
      </c>
      <c r="O62" s="6">
        <f t="shared" si="34"/>
        <v>0</v>
      </c>
    </row>
    <row r="63" spans="4:19" ht="16.5" thickBot="1">
      <c r="D63" s="23" t="b">
        <f>AND($D$1=5,$D$7=1,'Impianti Titolo II'!$C$3&lt;=5000,'Impianti Titolo II'!$C$3&gt;1000)</f>
        <v>0</v>
      </c>
      <c r="E63" s="29" t="s">
        <v>11</v>
      </c>
      <c r="F63" s="58">
        <v>100</v>
      </c>
      <c r="G63" s="59">
        <f t="shared" si="29"/>
        <v>18</v>
      </c>
      <c r="H63" s="60">
        <f t="shared" si="30"/>
        <v>0</v>
      </c>
      <c r="I63" s="102">
        <f t="shared" si="31"/>
        <v>0</v>
      </c>
      <c r="J63" s="30" t="b">
        <f>AND($D$1=5,$D$7=2,'Impianti Titolo II'!$C$3&lt;=5000,'Impianti Titolo II'!$C$3&gt;1000)</f>
        <v>0</v>
      </c>
      <c r="K63" s="39" t="s">
        <v>11</v>
      </c>
      <c r="L63" s="64">
        <v>97</v>
      </c>
      <c r="M63" s="65">
        <f t="shared" si="32"/>
        <v>15</v>
      </c>
      <c r="N63" s="6">
        <f t="shared" si="33"/>
        <v>0</v>
      </c>
      <c r="O63" s="6">
        <f t="shared" si="34"/>
        <v>0</v>
      </c>
    </row>
    <row r="64" spans="4:19" ht="16.5" thickBot="1">
      <c r="D64" s="30" t="b">
        <f>AND($D$1=5,$D$7=1,'Impianti Titolo II'!$C$3&gt;=5000)</f>
        <v>0</v>
      </c>
      <c r="E64" s="39" t="s">
        <v>12</v>
      </c>
      <c r="F64" s="64">
        <v>95</v>
      </c>
      <c r="G64" s="65">
        <f t="shared" si="29"/>
        <v>13</v>
      </c>
      <c r="H64" s="60">
        <f t="shared" si="30"/>
        <v>0</v>
      </c>
      <c r="I64" s="102">
        <f t="shared" si="31"/>
        <v>0</v>
      </c>
      <c r="J64" s="23" t="b">
        <f>AND($D$1=5,$D$7=2,'Impianti Titolo II'!$C$3&gt;=5000)</f>
        <v>0</v>
      </c>
      <c r="K64" s="39" t="s">
        <v>12</v>
      </c>
      <c r="L64" s="64">
        <v>92</v>
      </c>
      <c r="M64" s="65">
        <f t="shared" si="32"/>
        <v>10</v>
      </c>
      <c r="N64" s="6">
        <f t="shared" si="33"/>
        <v>0</v>
      </c>
      <c r="O64" s="6">
        <f t="shared" si="34"/>
        <v>0</v>
      </c>
    </row>
    <row r="65" spans="4:23" ht="15.75">
      <c r="D65" s="57"/>
      <c r="E65" s="57"/>
      <c r="F65" s="60"/>
      <c r="G65" s="60"/>
      <c r="H65" s="80">
        <f>SUM(H59:H64)</f>
        <v>0</v>
      </c>
      <c r="I65" s="81">
        <f>SUM(I59:I64)</f>
        <v>0</v>
      </c>
      <c r="J65" s="60"/>
      <c r="K65" s="60"/>
      <c r="L65" s="60"/>
      <c r="M65" s="60"/>
      <c r="N65" s="80">
        <f>SUM(N59:N64)</f>
        <v>0</v>
      </c>
      <c r="O65" s="80">
        <f>SUM(O59:O64)</f>
        <v>0</v>
      </c>
    </row>
    <row r="66" spans="4:23">
      <c r="D66" s="3"/>
      <c r="E66" s="3"/>
      <c r="F66" s="6"/>
      <c r="G66" s="6"/>
      <c r="H66" s="6"/>
      <c r="I66" s="6"/>
      <c r="J66" s="6"/>
      <c r="K66" s="6"/>
      <c r="L66" s="6"/>
      <c r="M66" s="6"/>
      <c r="N66" s="6"/>
      <c r="O66" s="6"/>
      <c r="P66" s="3"/>
      <c r="Q66" s="6"/>
      <c r="R66" s="3"/>
    </row>
    <row r="67" spans="4:23">
      <c r="D67" s="127">
        <f>IF($D$75&gt;1,'Impianti Titolo II'!E52+'Impianti Titolo II'!E53-'Impianti Titolo II'!E57,0)</f>
        <v>7001.5</v>
      </c>
      <c r="E67" s="127">
        <f>IF($D$75&gt;1,'Impianti Titolo II'!F52+'Impianti Titolo II'!F53-'Impianti Titolo II'!F57,0)</f>
        <v>2734.6374999999989</v>
      </c>
      <c r="F67" s="127">
        <f>IF($D$75&gt;1,'Impianti Titolo II'!G52+'Impianti Titolo II'!G53-'Impianti Titolo II'!G57,0)</f>
        <v>2599.2843625000005</v>
      </c>
      <c r="G67" s="127">
        <f>IF($D$75&gt;1,'Impianti Titolo II'!H52+'Impianti Titolo II'!H53-'Impianti Titolo II'!H57,0)</f>
        <v>2464.4217352374999</v>
      </c>
      <c r="H67" s="127">
        <f>IF($D$75&gt;1,'Impianti Titolo II'!I52+'Impianti Titolo II'!I53-'Impianti Titolo II'!I57,0)</f>
        <v>2330.0306502603635</v>
      </c>
      <c r="I67" s="127">
        <f>IF($D$75&gt;1,'Impianti Titolo II'!J52+'Impianti Titolo II'!J53-'Impianti Titolo II'!J57,0)</f>
        <v>2196.0920192608191</v>
      </c>
      <c r="J67" s="127">
        <f>IF($D$75&gt;1,'Impianti Titolo II'!K52+'Impianti Titolo II'!K53-'Impianti Titolo II'!K57,0)</f>
        <v>2062.586628837329</v>
      </c>
      <c r="K67" s="127">
        <f>IF($D$75&gt;1,'Impianti Titolo II'!L52+'Impianti Titolo II'!L53-'Impianti Titolo II'!L57,0)</f>
        <v>1929.4951356826441</v>
      </c>
      <c r="L67" s="127">
        <f>IF($D$75&gt;1,'Impianti Titolo II'!M52+'Impianti Titolo II'!M53-'Impianti Titolo II'!M57,0)</f>
        <v>1796.7980616964505</v>
      </c>
      <c r="M67" s="127">
        <f>IF($D$75&gt;1,'Impianti Titolo II'!N52+'Impianti Titolo II'!N53-'Impianti Titolo II'!N57,0)</f>
        <v>1664.4757890208293</v>
      </c>
      <c r="N67" s="127">
        <f>IF($D$75&gt;1,'Impianti Titolo II'!O52+'Impianti Titolo II'!O53-'Impianti Titolo II'!O57,0)</f>
        <v>1532.5085549968844</v>
      </c>
      <c r="O67" s="127">
        <f>IF($D$75&gt;1,'Impianti Titolo II'!P52+'Impianti Titolo II'!P53-'Impianti Titolo II'!P57,0)</f>
        <v>4613.8764470407004</v>
      </c>
      <c r="P67" s="127">
        <f>IF($D$75&gt;1,'Impianti Titolo II'!Q52+'Impianti Titolo II'!Q53-'Impianti Titolo II'!Q57,0)</f>
        <v>9531.5593974368967</v>
      </c>
      <c r="Q67" s="127">
        <f>IF($D$75&gt;1,'Impianti Titolo II'!R52+'Impianti Titolo II'!R53-'Impianti Titolo II'!R57,0)</f>
        <v>9400.5371780479163</v>
      </c>
      <c r="R67" s="127">
        <f>IF($D$75&gt;1,'Impianti Titolo II'!S52+'Impianti Titolo II'!S53-'Impianti Titolo II'!S57,0)</f>
        <v>9269.7893949371992</v>
      </c>
      <c r="S67" s="127">
        <f>IF($D$75&gt;1,'Impianti Titolo II'!T52+'Impianti Titolo II'!T53-'Impianti Titolo II'!T57,0)</f>
        <v>9139.2954829043119</v>
      </c>
      <c r="T67" s="127">
        <f>IF($D$75&gt;1,'Impianti Titolo II'!U52+'Impianti Titolo II'!U53-'Impianti Titolo II'!U57,0)</f>
        <v>9009.034699930151</v>
      </c>
      <c r="U67" s="127">
        <f>IF($D$75&gt;1,'Impianti Titolo II'!V52+'Impianti Titolo II'!V53-'Impianti Titolo II'!V57,0)</f>
        <v>8878.9861215301971</v>
      </c>
      <c r="V67" s="127">
        <f>IF($D$75&gt;1,'Impianti Titolo II'!W52+'Impianti Titolo II'!W53-'Impianti Titolo II'!W57,0)</f>
        <v>8749.1286350138325</v>
      </c>
      <c r="W67" s="127">
        <f>IF($D$75&gt;1,'Impianti Titolo II'!X52+'Impianti Titolo II'!X53-'Impianti Titolo II'!X57,0)</f>
        <v>8619.4409336476601</v>
      </c>
    </row>
    <row r="68" spans="4:23">
      <c r="H68" s="79"/>
      <c r="I68" s="79"/>
      <c r="N68" s="79"/>
      <c r="O68" s="79"/>
    </row>
    <row r="70" spans="4:23">
      <c r="D70" s="7" t="s">
        <v>104</v>
      </c>
    </row>
    <row r="71" spans="4:23">
      <c r="D71" s="7" t="s">
        <v>130</v>
      </c>
    </row>
    <row r="72" spans="4:23">
      <c r="D72" s="7" t="s">
        <v>129</v>
      </c>
    </row>
    <row r="73" spans="4:23">
      <c r="D73" s="7" t="s">
        <v>128</v>
      </c>
      <c r="Q73" s="141"/>
    </row>
    <row r="74" spans="4:23">
      <c r="Q74" s="141"/>
    </row>
    <row r="75" spans="4:23">
      <c r="D75" s="114">
        <v>4</v>
      </c>
    </row>
    <row r="77" spans="4:23">
      <c r="D77" s="7" t="s">
        <v>97</v>
      </c>
      <c r="F77" s="7">
        <f>'Impianti Titolo II'!C3*'Impianti Titolo II'!C34</f>
        <v>91800</v>
      </c>
    </row>
    <row r="78" spans="4:23">
      <c r="D78" s="7" t="s">
        <v>96</v>
      </c>
      <c r="F78" s="7">
        <f>IF(D75&gt;1,('Impianti Titolo II'!C34*'Impianti Titolo II'!C3)/100*'Impianti Titolo II'!$K$8,0)</f>
        <v>8262</v>
      </c>
    </row>
    <row r="80" spans="4:23">
      <c r="D80" s="127">
        <f>$F$77</f>
        <v>91800</v>
      </c>
      <c r="E80" s="127">
        <f>$F$77</f>
        <v>91800</v>
      </c>
      <c r="F80" s="127">
        <f>$F$77</f>
        <v>91800</v>
      </c>
      <c r="G80" s="127">
        <f t="shared" ref="G80:W80" si="35">$F$77</f>
        <v>91800</v>
      </c>
      <c r="H80" s="127">
        <f t="shared" si="35"/>
        <v>91800</v>
      </c>
      <c r="I80" s="127">
        <f t="shared" si="35"/>
        <v>91800</v>
      </c>
      <c r="J80" s="127">
        <f t="shared" si="35"/>
        <v>91800</v>
      </c>
      <c r="K80" s="127">
        <f t="shared" si="35"/>
        <v>91800</v>
      </c>
      <c r="L80" s="127">
        <f t="shared" si="35"/>
        <v>91800</v>
      </c>
      <c r="M80" s="127">
        <f t="shared" si="35"/>
        <v>91800</v>
      </c>
      <c r="N80" s="127">
        <f t="shared" si="35"/>
        <v>91800</v>
      </c>
      <c r="O80" s="127">
        <f t="shared" si="35"/>
        <v>91800</v>
      </c>
      <c r="P80" s="127">
        <f t="shared" si="35"/>
        <v>91800</v>
      </c>
      <c r="Q80" s="127">
        <f t="shared" si="35"/>
        <v>91800</v>
      </c>
      <c r="R80" s="127">
        <f t="shared" si="35"/>
        <v>91800</v>
      </c>
      <c r="S80" s="127">
        <f t="shared" si="35"/>
        <v>91800</v>
      </c>
      <c r="T80" s="127">
        <f t="shared" si="35"/>
        <v>91800</v>
      </c>
      <c r="U80" s="127">
        <f t="shared" si="35"/>
        <v>91800</v>
      </c>
      <c r="V80" s="127">
        <f t="shared" si="35"/>
        <v>91800</v>
      </c>
      <c r="W80" s="127">
        <f t="shared" si="35"/>
        <v>91800</v>
      </c>
    </row>
    <row r="81" spans="3:23">
      <c r="C81" s="127"/>
      <c r="D81" s="127">
        <f>$F$77/100*'Impianti Titolo II'!$K$8/2</f>
        <v>4131</v>
      </c>
      <c r="E81" s="127">
        <f>D81+$F$78</f>
        <v>12393</v>
      </c>
      <c r="F81" s="127">
        <f t="shared" ref="F81:W81" si="36">E81+$F$78</f>
        <v>20655</v>
      </c>
      <c r="G81" s="127">
        <f t="shared" si="36"/>
        <v>28917</v>
      </c>
      <c r="H81" s="127">
        <f t="shared" si="36"/>
        <v>37179</v>
      </c>
      <c r="I81" s="127">
        <f t="shared" si="36"/>
        <v>45441</v>
      </c>
      <c r="J81" s="127">
        <f t="shared" si="36"/>
        <v>53703</v>
      </c>
      <c r="K81" s="127">
        <f t="shared" si="36"/>
        <v>61965</v>
      </c>
      <c r="L81" s="127">
        <f t="shared" si="36"/>
        <v>70227</v>
      </c>
      <c r="M81" s="127">
        <f t="shared" si="36"/>
        <v>78489</v>
      </c>
      <c r="N81" s="127">
        <f t="shared" si="36"/>
        <v>86751</v>
      </c>
      <c r="O81" s="127">
        <f t="shared" si="36"/>
        <v>95013</v>
      </c>
      <c r="P81" s="127">
        <f t="shared" si="36"/>
        <v>103275</v>
      </c>
      <c r="Q81" s="127">
        <f t="shared" si="36"/>
        <v>111537</v>
      </c>
      <c r="R81" s="127">
        <f t="shared" si="36"/>
        <v>119799</v>
      </c>
      <c r="S81" s="127">
        <f t="shared" si="36"/>
        <v>128061</v>
      </c>
      <c r="T81" s="127">
        <f t="shared" si="36"/>
        <v>136323</v>
      </c>
      <c r="U81" s="127">
        <f t="shared" si="36"/>
        <v>144585</v>
      </c>
      <c r="V81" s="127">
        <f t="shared" si="36"/>
        <v>152847</v>
      </c>
      <c r="W81" s="127">
        <f t="shared" si="36"/>
        <v>161109</v>
      </c>
    </row>
    <row r="82" spans="3:23"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</row>
    <row r="83" spans="3:23"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8"/>
      <c r="R83" s="127"/>
      <c r="S83" s="127"/>
      <c r="T83" s="127"/>
      <c r="U83" s="127"/>
      <c r="V83" s="127"/>
      <c r="W83" s="127"/>
    </row>
    <row r="84" spans="3:23">
      <c r="D84" s="127">
        <f>IF(D81&lt;D80,1,0)</f>
        <v>1</v>
      </c>
      <c r="E84" s="127">
        <f t="shared" ref="E84:W84" si="37">IF(E81&lt;E80,1,0)</f>
        <v>1</v>
      </c>
      <c r="F84" s="127">
        <f t="shared" si="37"/>
        <v>1</v>
      </c>
      <c r="G84" s="127">
        <f t="shared" si="37"/>
        <v>1</v>
      </c>
      <c r="H84" s="127">
        <f t="shared" si="37"/>
        <v>1</v>
      </c>
      <c r="I84" s="127">
        <f t="shared" si="37"/>
        <v>1</v>
      </c>
      <c r="J84" s="127">
        <f t="shared" si="37"/>
        <v>1</v>
      </c>
      <c r="K84" s="127">
        <f t="shared" si="37"/>
        <v>1</v>
      </c>
      <c r="L84" s="127">
        <f t="shared" si="37"/>
        <v>1</v>
      </c>
      <c r="M84" s="127">
        <f t="shared" si="37"/>
        <v>1</v>
      </c>
      <c r="N84" s="127">
        <f t="shared" si="37"/>
        <v>1</v>
      </c>
      <c r="O84" s="127">
        <f t="shared" si="37"/>
        <v>0</v>
      </c>
      <c r="P84" s="127">
        <f t="shared" si="37"/>
        <v>0</v>
      </c>
      <c r="Q84" s="127">
        <f t="shared" si="37"/>
        <v>0</v>
      </c>
      <c r="R84" s="127">
        <f t="shared" si="37"/>
        <v>0</v>
      </c>
      <c r="S84" s="127">
        <f t="shared" si="37"/>
        <v>0</v>
      </c>
      <c r="T84" s="127">
        <f t="shared" si="37"/>
        <v>0</v>
      </c>
      <c r="U84" s="127">
        <f t="shared" si="37"/>
        <v>0</v>
      </c>
      <c r="V84" s="127">
        <f t="shared" si="37"/>
        <v>0</v>
      </c>
      <c r="W84" s="127">
        <f t="shared" si="37"/>
        <v>0</v>
      </c>
    </row>
    <row r="85" spans="3:23">
      <c r="D85" s="127">
        <f>IF('Calcoli Titolo II'!$D$75&gt;1,'Calcoli Titolo II'!$F$78/2,0)</f>
        <v>4131</v>
      </c>
      <c r="E85" s="127">
        <f>IF('Calcoli Titolo II'!$D$75&gt;1,'Calcoli Titolo II'!$F$78,0)</f>
        <v>8262</v>
      </c>
      <c r="F85" s="127">
        <f>IF('Calcoli Titolo II'!$D$75&gt;1,'Calcoli Titolo II'!$F$78,0)</f>
        <v>8262</v>
      </c>
      <c r="G85" s="127">
        <f>IF('Calcoli Titolo II'!$D$75&gt;1,'Calcoli Titolo II'!$F$78,0)</f>
        <v>8262</v>
      </c>
      <c r="H85" s="127">
        <f>IF('Calcoli Titolo II'!$D$75&gt;1,'Calcoli Titolo II'!$F$78,0)</f>
        <v>8262</v>
      </c>
      <c r="I85" s="127">
        <f>IF('Calcoli Titolo II'!$D$75&gt;1,'Calcoli Titolo II'!$F$78,0)</f>
        <v>8262</v>
      </c>
      <c r="J85" s="127">
        <f>IF('Calcoli Titolo II'!$D$75&gt;1,'Calcoli Titolo II'!$F$78,0)</f>
        <v>8262</v>
      </c>
      <c r="K85" s="127">
        <f>IF('Calcoli Titolo II'!$D$75&gt;1,'Calcoli Titolo II'!$F$78,0)</f>
        <v>8262</v>
      </c>
      <c r="L85" s="127">
        <f>IF('Calcoli Titolo II'!$D$75&gt;1,'Calcoli Titolo II'!$F$78,0)</f>
        <v>8262</v>
      </c>
      <c r="M85" s="127">
        <f>IF('Calcoli Titolo II'!$D$75&gt;1,'Calcoli Titolo II'!$F$78,0)</f>
        <v>8262</v>
      </c>
      <c r="N85" s="127">
        <f>IF('Calcoli Titolo II'!$D$75&gt;1,'Calcoli Titolo II'!$F$78,0)</f>
        <v>8262</v>
      </c>
      <c r="O85" s="127">
        <f>IF('Calcoli Titolo II'!$D$75&gt;1,'Calcoli Titolo II'!$F$78,0)</f>
        <v>8262</v>
      </c>
      <c r="P85" s="127">
        <f>IF('Calcoli Titolo II'!$D$75&gt;1,'Calcoli Titolo II'!$F$78,0)</f>
        <v>8262</v>
      </c>
      <c r="Q85" s="127">
        <f>IF('Calcoli Titolo II'!$D$75&gt;1,'Calcoli Titolo II'!$F$78,0)</f>
        <v>8262</v>
      </c>
      <c r="R85" s="127">
        <f>IF('Calcoli Titolo II'!$D$75&gt;1,'Calcoli Titolo II'!$F$78,0)</f>
        <v>8262</v>
      </c>
      <c r="S85" s="127">
        <f>IF('Calcoli Titolo II'!$D$75&gt;1,'Calcoli Titolo II'!$F$78,0)</f>
        <v>8262</v>
      </c>
      <c r="T85" s="127">
        <f>IF('Calcoli Titolo II'!$D$75&gt;1,'Calcoli Titolo II'!$F$78,0)</f>
        <v>8262</v>
      </c>
      <c r="U85" s="127">
        <f>IF('Calcoli Titolo II'!$D$75&gt;1,'Calcoli Titolo II'!$F$78,0)</f>
        <v>8262</v>
      </c>
      <c r="V85" s="127">
        <f>IF('Calcoli Titolo II'!$D$75&gt;1,'Calcoli Titolo II'!$F$78,0)</f>
        <v>8262</v>
      </c>
      <c r="W85" s="127">
        <f>IF('Calcoli Titolo II'!$D$75&gt;1,'Calcoli Titolo II'!$F$78,0)</f>
        <v>8262</v>
      </c>
    </row>
    <row r="86" spans="3:23" ht="10.5" customHeight="1"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8"/>
      <c r="R86" s="127"/>
      <c r="S86" s="127"/>
      <c r="T86" s="127"/>
      <c r="U86" s="127"/>
      <c r="V86" s="127"/>
      <c r="W86" s="127"/>
    </row>
    <row r="87" spans="3:23">
      <c r="D87" s="127">
        <f>IF(D84=1,D85,0)</f>
        <v>4131</v>
      </c>
      <c r="E87" s="127">
        <f>IF(E84=1,E85,$F$77-(D87))</f>
        <v>8262</v>
      </c>
      <c r="F87" s="127">
        <f>IF(F84=1,F85,$F$77-(E87+D87))</f>
        <v>8262</v>
      </c>
      <c r="G87" s="127">
        <f>IF(G84=1,G85,$F$77-(F87+E87+D87))</f>
        <v>8262</v>
      </c>
      <c r="H87" s="127">
        <f>IF(H84=1,H85,$F$77-(G87+F87+E87+D87))</f>
        <v>8262</v>
      </c>
      <c r="I87" s="127">
        <f>IF(I84=1,I85,$F$77-(H87+G87+F87+E87+D87))</f>
        <v>8262</v>
      </c>
      <c r="J87" s="127">
        <f>IF(J84=1,J85,$F$77-(I87+H87+G87+F87+E87+D87))</f>
        <v>8262</v>
      </c>
      <c r="K87" s="127">
        <f>IF(K84=1,K85,$F$77-(J87+I87+H87+G87+F87+E87+D87))</f>
        <v>8262</v>
      </c>
      <c r="L87" s="127">
        <f>IF(L84=1,L85,$F$77-(K87+J87+I87+H87+G87+F87+E87+D87))</f>
        <v>8262</v>
      </c>
      <c r="M87" s="127">
        <f>IF(M84=1,M85,$F$77-(L87+K87+J87+I87+H87+G87+F87+E87+D87))</f>
        <v>8262</v>
      </c>
      <c r="N87" s="127">
        <f>IF(N84=1,N85,$F$77-(M87+L87+K87+J87+I87+H87+G87+F87+E87+D87))</f>
        <v>8262</v>
      </c>
      <c r="O87" s="127">
        <f>IF(O84=1,O85,$F$77-(N87+M87+L87+K87+J87+I87+H87+G87+F87+E87+D87))</f>
        <v>5049</v>
      </c>
      <c r="P87" s="127">
        <f>IF(P84=1,P85,$F$77-(O87+N87+M87+L87+K87+J87+I87+H87+G87+F87+E87+D87))</f>
        <v>0</v>
      </c>
      <c r="Q87" s="127">
        <f>IF(Q84=1,Q85,$F$77-(P87+O87+N87+M87+L87+K87+J87+I87+H87+G87+F87+E87+D87))</f>
        <v>0</v>
      </c>
      <c r="R87" s="127">
        <f>IF(R84=1,R85,$F$77-(Q87+P87+O87+N87+M87+L87+K87+J87+I87+H87+G87+F87+E87+D87))</f>
        <v>0</v>
      </c>
      <c r="S87" s="127">
        <f>IF(S84=1,S85,$F$77-(R87+Q87+P87+O87+N87+M87+L87+K87+J87+I87+H87+G87+F87+E87+D87))</f>
        <v>0</v>
      </c>
      <c r="T87" s="127">
        <f>IF(T84=1,T85,$F$77-(S87+R87+Q87+P87+O87+N87+M87+L87+K87+J87+I87+H87+G87+F87+E87+D87))</f>
        <v>0</v>
      </c>
      <c r="U87" s="127">
        <f>IF(U84=1,U85,$F$77-(T87+S87+R87+Q87+P87+O87+N87+M87+L87+K87+J87+I87+H87+G87+F87+E87+D87))</f>
        <v>0</v>
      </c>
      <c r="V87" s="127">
        <f>IF(V84=1,V85,$F$77-(U87+T87+S87+R87+Q87+P87+O87+N87+M87+L87+K87+J87+I87+H87+G87+F87+E87+D87))</f>
        <v>0</v>
      </c>
      <c r="W87" s="127">
        <f>IF(W84=1,W85,$F$77-(V87+U87+T87+S87+R87+Q87+P87+O87+N87+M87+L87+K87+J87+I87+H87+G87+F87+E87+D87))</f>
        <v>0</v>
      </c>
    </row>
    <row r="89" spans="3:23">
      <c r="N89" s="127"/>
      <c r="O89" s="127"/>
    </row>
    <row r="90" spans="3:23">
      <c r="F90" s="127"/>
    </row>
    <row r="91" spans="3:23">
      <c r="D91" s="127">
        <f>'Impianti Titolo II'!E58</f>
        <v>7001.5</v>
      </c>
      <c r="E91" s="127">
        <f>'Impianti Titolo II'!F58</f>
        <v>2734.6374999999989</v>
      </c>
      <c r="F91" s="127">
        <f>'Impianti Titolo II'!G58</f>
        <v>2599.2843625000005</v>
      </c>
      <c r="G91" s="127">
        <f>'Impianti Titolo II'!H58</f>
        <v>2464.4217352374999</v>
      </c>
      <c r="H91" s="127">
        <f>'Impianti Titolo II'!I58</f>
        <v>2330.0306502603635</v>
      </c>
      <c r="I91" s="127">
        <f>'Impianti Titolo II'!J58</f>
        <v>2196.0920192608191</v>
      </c>
      <c r="J91" s="127">
        <f>'Impianti Titolo II'!K58</f>
        <v>2062.586628837329</v>
      </c>
      <c r="K91" s="127">
        <f>'Impianti Titolo II'!L58</f>
        <v>1929.4951356826441</v>
      </c>
      <c r="L91" s="127">
        <f>'Impianti Titolo II'!M58</f>
        <v>1796.7980616964505</v>
      </c>
      <c r="M91" s="127">
        <f>'Impianti Titolo II'!N58</f>
        <v>1664.4757890208293</v>
      </c>
      <c r="N91" s="127">
        <f>'Impianti Titolo II'!O58</f>
        <v>1532.5085549968844</v>
      </c>
      <c r="O91" s="127">
        <f>'Impianti Titolo II'!P58</f>
        <v>4613.8764470407004</v>
      </c>
      <c r="P91" s="127">
        <f>'Impianti Titolo II'!Q58</f>
        <v>9531.5593974368967</v>
      </c>
      <c r="Q91" s="127">
        <f>'Impianti Titolo II'!R58</f>
        <v>9400.5371780479163</v>
      </c>
      <c r="R91" s="127">
        <f>'Impianti Titolo II'!S58</f>
        <v>9269.7893949371992</v>
      </c>
      <c r="S91" s="127">
        <f>'Impianti Titolo II'!T58</f>
        <v>9139.2954829043119</v>
      </c>
      <c r="T91" s="127">
        <f>'Impianti Titolo II'!U58</f>
        <v>9009.034699930151</v>
      </c>
      <c r="U91" s="127">
        <f>'Impianti Titolo II'!V58</f>
        <v>8878.9861215301971</v>
      </c>
      <c r="V91" s="127">
        <f>'Impianti Titolo II'!W58</f>
        <v>8749.1286350138325</v>
      </c>
      <c r="W91" s="127">
        <f>'Impianti Titolo II'!X58</f>
        <v>8619.4409336476601</v>
      </c>
    </row>
    <row r="92" spans="3:23"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</row>
    <row r="93" spans="3:23">
      <c r="C93" s="7" t="s">
        <v>119</v>
      </c>
      <c r="D93" s="128" t="b">
        <f>AND(D91&lt;15000)</f>
        <v>1</v>
      </c>
      <c r="E93" s="128" t="b">
        <f t="shared" ref="E93:W93" si="38">AND(E91&lt;15000)</f>
        <v>1</v>
      </c>
      <c r="F93" s="128" t="b">
        <f t="shared" si="38"/>
        <v>1</v>
      </c>
      <c r="G93" s="128" t="b">
        <f t="shared" si="38"/>
        <v>1</v>
      </c>
      <c r="H93" s="128" t="b">
        <f t="shared" si="38"/>
        <v>1</v>
      </c>
      <c r="I93" s="128" t="b">
        <f t="shared" si="38"/>
        <v>1</v>
      </c>
      <c r="J93" s="128" t="b">
        <f t="shared" si="38"/>
        <v>1</v>
      </c>
      <c r="K93" s="128" t="b">
        <f t="shared" si="38"/>
        <v>1</v>
      </c>
      <c r="L93" s="128" t="b">
        <f t="shared" si="38"/>
        <v>1</v>
      </c>
      <c r="M93" s="128" t="b">
        <f t="shared" si="38"/>
        <v>1</v>
      </c>
      <c r="N93" s="128" t="b">
        <f t="shared" si="38"/>
        <v>1</v>
      </c>
      <c r="O93" s="128" t="b">
        <f t="shared" si="38"/>
        <v>1</v>
      </c>
      <c r="P93" s="128" t="b">
        <f t="shared" si="38"/>
        <v>1</v>
      </c>
      <c r="Q93" s="128" t="b">
        <f t="shared" si="38"/>
        <v>1</v>
      </c>
      <c r="R93" s="128" t="b">
        <f t="shared" si="38"/>
        <v>1</v>
      </c>
      <c r="S93" s="128" t="b">
        <f t="shared" si="38"/>
        <v>1</v>
      </c>
      <c r="T93" s="128" t="b">
        <f t="shared" si="38"/>
        <v>1</v>
      </c>
      <c r="U93" s="128" t="b">
        <f t="shared" si="38"/>
        <v>1</v>
      </c>
      <c r="V93" s="128" t="b">
        <f t="shared" si="38"/>
        <v>1</v>
      </c>
      <c r="W93" s="128" t="b">
        <f t="shared" si="38"/>
        <v>1</v>
      </c>
    </row>
    <row r="94" spans="3:23">
      <c r="C94" s="127"/>
      <c r="D94" s="128">
        <f>IF(D93=TRUE,D91/100*'Impianti Titolo II'!$L$10,0)</f>
        <v>1610.345</v>
      </c>
      <c r="E94" s="128">
        <f>IF(E93=TRUE,E91/100*'Impianti Titolo II'!$L$10,0)</f>
        <v>628.96662499999968</v>
      </c>
      <c r="F94" s="128">
        <f>IF(F93=TRUE,F91/100*'Impianti Titolo II'!$L$10,0)</f>
        <v>597.83540337500017</v>
      </c>
      <c r="G94" s="128">
        <f>IF(G93=TRUE,G91/100*'Impianti Titolo II'!$L$10,0)</f>
        <v>566.81699910462498</v>
      </c>
      <c r="H94" s="128">
        <f>IF(H93=TRUE,H91/100*'Impianti Titolo II'!$L$10,0)</f>
        <v>535.9070495598836</v>
      </c>
      <c r="I94" s="128">
        <f>IF(I93=TRUE,I91/100*'Impianti Titolo II'!$L$10,0)</f>
        <v>505.10116442998844</v>
      </c>
      <c r="J94" s="128">
        <f>IF(J93=TRUE,J91/100*'Impianti Titolo II'!$L$10,0)</f>
        <v>474.39492463258568</v>
      </c>
      <c r="K94" s="128">
        <f>IF(K93=TRUE,K91/100*'Impianti Titolo II'!$L$10,0)</f>
        <v>443.78388120700816</v>
      </c>
      <c r="L94" s="128">
        <f>IF(L93=TRUE,L91/100*'Impianti Titolo II'!$L$10,0)</f>
        <v>413.26355419018364</v>
      </c>
      <c r="M94" s="128">
        <f>IF(M93=TRUE,M91/100*'Impianti Titolo II'!$L$10,0)</f>
        <v>382.82943147479074</v>
      </c>
      <c r="N94" s="128">
        <f>IF(N93=TRUE,N91/100*'Impianti Titolo II'!$L$10,0)</f>
        <v>352.47696764928338</v>
      </c>
      <c r="O94" s="128">
        <f>IF(O93=TRUE,O91/100*'Impianti Titolo II'!$L$10,0)</f>
        <v>1061.1915828193612</v>
      </c>
      <c r="P94" s="128">
        <f>IF(P93=TRUE,P91/100*'Impianti Titolo II'!$L$10,0)</f>
        <v>2192.2586614104862</v>
      </c>
      <c r="Q94" s="128">
        <f>IF(Q93=TRUE,Q91/100*'Impianti Titolo II'!$L$10,0)</f>
        <v>2162.1235509510207</v>
      </c>
      <c r="R94" s="128">
        <f>IF(R93=TRUE,R91/100*'Impianti Titolo II'!$L$10,0)</f>
        <v>2132.0515608355558</v>
      </c>
      <c r="S94" s="128">
        <f>IF(S93=TRUE,S91/100*'Impianti Titolo II'!$L$10,0)</f>
        <v>2102.0379610679915</v>
      </c>
      <c r="T94" s="128">
        <f>IF(T93=TRUE,T91/100*'Impianti Titolo II'!$L$10,0)</f>
        <v>2072.077980983935</v>
      </c>
      <c r="U94" s="128">
        <f>IF(U93=TRUE,U91/100*'Impianti Titolo II'!$L$10,0)</f>
        <v>2042.1668079519452</v>
      </c>
      <c r="V94" s="128">
        <f>IF(V93=TRUE,V91/100*'Impianti Titolo II'!$L$10,0)</f>
        <v>2012.2995860531814</v>
      </c>
      <c r="W94" s="128">
        <f>IF(W93=TRUE,W91/100*'Impianti Titolo II'!$L$10,0)</f>
        <v>1982.4714147389618</v>
      </c>
    </row>
    <row r="95" spans="3:23"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</row>
    <row r="96" spans="3:23">
      <c r="C96" s="127" t="s">
        <v>118</v>
      </c>
      <c r="D96" s="128" t="b">
        <f>AND(D91&lt;28001,D91&gt;15000)</f>
        <v>0</v>
      </c>
      <c r="E96" s="128" t="b">
        <f t="shared" ref="E96:W96" si="39">AND(E91&lt;28001,E91&gt;15000)</f>
        <v>0</v>
      </c>
      <c r="F96" s="128" t="b">
        <f t="shared" si="39"/>
        <v>0</v>
      </c>
      <c r="G96" s="128" t="b">
        <f t="shared" si="39"/>
        <v>0</v>
      </c>
      <c r="H96" s="128" t="b">
        <f t="shared" si="39"/>
        <v>0</v>
      </c>
      <c r="I96" s="128" t="b">
        <f t="shared" si="39"/>
        <v>0</v>
      </c>
      <c r="J96" s="128" t="b">
        <f t="shared" si="39"/>
        <v>0</v>
      </c>
      <c r="K96" s="128" t="b">
        <f t="shared" si="39"/>
        <v>0</v>
      </c>
      <c r="L96" s="128" t="b">
        <f t="shared" si="39"/>
        <v>0</v>
      </c>
      <c r="M96" s="128" t="b">
        <f t="shared" si="39"/>
        <v>0</v>
      </c>
      <c r="N96" s="128" t="b">
        <f t="shared" si="39"/>
        <v>0</v>
      </c>
      <c r="O96" s="128" t="b">
        <f t="shared" si="39"/>
        <v>0</v>
      </c>
      <c r="P96" s="128" t="b">
        <f t="shared" si="39"/>
        <v>0</v>
      </c>
      <c r="Q96" s="128" t="b">
        <f t="shared" si="39"/>
        <v>0</v>
      </c>
      <c r="R96" s="128" t="b">
        <f t="shared" si="39"/>
        <v>0</v>
      </c>
      <c r="S96" s="128" t="b">
        <f t="shared" si="39"/>
        <v>0</v>
      </c>
      <c r="T96" s="128" t="b">
        <f t="shared" si="39"/>
        <v>0</v>
      </c>
      <c r="U96" s="128" t="b">
        <f t="shared" si="39"/>
        <v>0</v>
      </c>
      <c r="V96" s="128" t="b">
        <f t="shared" si="39"/>
        <v>0</v>
      </c>
      <c r="W96" s="128" t="b">
        <f t="shared" si="39"/>
        <v>0</v>
      </c>
    </row>
    <row r="97" spans="3:23">
      <c r="C97" s="127"/>
      <c r="D97" s="128">
        <f>IF(D96=TRUE,3450+((D91-15000)/100*'Impianti Titolo II'!$L$11),0)</f>
        <v>0</v>
      </c>
      <c r="E97" s="128">
        <f>IF(E96=TRUE,3450+((E91-15000)/100*'Impianti Titolo II'!$L$11),0)</f>
        <v>0</v>
      </c>
      <c r="F97" s="128">
        <f>IF(F96=TRUE,3450+((F91-15000)/100*'Impianti Titolo II'!$L$11),0)</f>
        <v>0</v>
      </c>
      <c r="G97" s="128">
        <f>IF(G96=TRUE,3450+((G91-15000)/100*'Impianti Titolo II'!$L$11),0)</f>
        <v>0</v>
      </c>
      <c r="H97" s="128">
        <f>IF(H96=TRUE,3450+((H91-15000)/100*'Impianti Titolo II'!$L$11),0)</f>
        <v>0</v>
      </c>
      <c r="I97" s="128">
        <f>IF(I96=TRUE,3450+((I91-15000)/100*'Impianti Titolo II'!$L$11),0)</f>
        <v>0</v>
      </c>
      <c r="J97" s="128">
        <f>IF(J96=TRUE,3450+((J91-15000)/100*'Impianti Titolo II'!$L$11),0)</f>
        <v>0</v>
      </c>
      <c r="K97" s="128">
        <f>IF(K96=TRUE,3450+((K91-15000)/100*'Impianti Titolo II'!$L$11),0)</f>
        <v>0</v>
      </c>
      <c r="L97" s="128">
        <f>IF(L96=TRUE,3450+((L91-15000)/100*'Impianti Titolo II'!$L$11),0)</f>
        <v>0</v>
      </c>
      <c r="M97" s="128">
        <f>IF(M96=TRUE,3450+((M91-15000)/100*'Impianti Titolo II'!$L$11),0)</f>
        <v>0</v>
      </c>
      <c r="N97" s="128">
        <f>IF(N96=TRUE,3450+((N91-15000)/100*'Impianti Titolo II'!$L$11),0)</f>
        <v>0</v>
      </c>
      <c r="O97" s="128">
        <f>IF(O96=TRUE,3450+((O91-15000)/100*'Impianti Titolo II'!$L$11),0)</f>
        <v>0</v>
      </c>
      <c r="P97" s="128">
        <f>IF(P96=TRUE,3450+((P91-15000)/100*'Impianti Titolo II'!$L$11),0)</f>
        <v>0</v>
      </c>
      <c r="Q97" s="128">
        <f>IF(Q96=TRUE,3450+((Q91-15000)/100*'Impianti Titolo II'!$L$11),0)</f>
        <v>0</v>
      </c>
      <c r="R97" s="128">
        <f>IF(R96=TRUE,3450+((R91-15000)/100*'Impianti Titolo II'!$L$11),0)</f>
        <v>0</v>
      </c>
      <c r="S97" s="128">
        <f>IF(S96=TRUE,3450+((S91-15000)/100*'Impianti Titolo II'!$L$11),0)</f>
        <v>0</v>
      </c>
      <c r="T97" s="128">
        <f>IF(T96=TRUE,3450+((T91-15000)/100*'Impianti Titolo II'!$L$11),0)</f>
        <v>0</v>
      </c>
      <c r="U97" s="128">
        <f>IF(U96=TRUE,3450+((U91-15000)/100*'Impianti Titolo II'!$L$11),0)</f>
        <v>0</v>
      </c>
      <c r="V97" s="128">
        <f>IF(V96=TRUE,3450+((V91-15000)/100*'Impianti Titolo II'!$L$11),0)</f>
        <v>0</v>
      </c>
      <c r="W97" s="128">
        <f>IF(W96=TRUE,3450+((W91-15000)/100*'Impianti Titolo II'!$L$11),0)</f>
        <v>0</v>
      </c>
    </row>
    <row r="98" spans="3:23">
      <c r="C98" s="127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</row>
    <row r="99" spans="3:23">
      <c r="C99" s="127" t="s">
        <v>120</v>
      </c>
      <c r="D99" s="128" t="b">
        <f>AND(D91&lt;55001,D91&gt;28000)</f>
        <v>0</v>
      </c>
      <c r="E99" s="128" t="b">
        <f t="shared" ref="E99:W99" si="40">AND(E91&lt;55001,E91&gt;28000)</f>
        <v>0</v>
      </c>
      <c r="F99" s="128" t="b">
        <f t="shared" si="40"/>
        <v>0</v>
      </c>
      <c r="G99" s="128" t="b">
        <f t="shared" si="40"/>
        <v>0</v>
      </c>
      <c r="H99" s="128" t="b">
        <f t="shared" si="40"/>
        <v>0</v>
      </c>
      <c r="I99" s="128" t="b">
        <f t="shared" si="40"/>
        <v>0</v>
      </c>
      <c r="J99" s="128" t="b">
        <f t="shared" si="40"/>
        <v>0</v>
      </c>
      <c r="K99" s="128" t="b">
        <f t="shared" si="40"/>
        <v>0</v>
      </c>
      <c r="L99" s="128" t="b">
        <f t="shared" si="40"/>
        <v>0</v>
      </c>
      <c r="M99" s="128" t="b">
        <f t="shared" si="40"/>
        <v>0</v>
      </c>
      <c r="N99" s="128" t="b">
        <f t="shared" si="40"/>
        <v>0</v>
      </c>
      <c r="O99" s="128" t="b">
        <f t="shared" si="40"/>
        <v>0</v>
      </c>
      <c r="P99" s="128" t="b">
        <f t="shared" si="40"/>
        <v>0</v>
      </c>
      <c r="Q99" s="128" t="b">
        <f t="shared" si="40"/>
        <v>0</v>
      </c>
      <c r="R99" s="128" t="b">
        <f t="shared" si="40"/>
        <v>0</v>
      </c>
      <c r="S99" s="128" t="b">
        <f t="shared" si="40"/>
        <v>0</v>
      </c>
      <c r="T99" s="128" t="b">
        <f t="shared" si="40"/>
        <v>0</v>
      </c>
      <c r="U99" s="128" t="b">
        <f t="shared" si="40"/>
        <v>0</v>
      </c>
      <c r="V99" s="128" t="b">
        <f t="shared" si="40"/>
        <v>0</v>
      </c>
      <c r="W99" s="128" t="b">
        <f t="shared" si="40"/>
        <v>0</v>
      </c>
    </row>
    <row r="100" spans="3:23">
      <c r="C100" s="127"/>
      <c r="D100" s="128">
        <f>IF(D99=TRUE,6960+((D91-28000)/100*'Impianti Titolo II'!$L$12),0)</f>
        <v>0</v>
      </c>
      <c r="E100" s="128">
        <f>IF(E99=TRUE,6960+((E91-28000)/100*'Impianti Titolo II'!$L$12),0)</f>
        <v>0</v>
      </c>
      <c r="F100" s="128">
        <f>IF(F99=TRUE,6960+((F91-28000)/100*'Impianti Titolo II'!$L$12),0)</f>
        <v>0</v>
      </c>
      <c r="G100" s="128">
        <f>IF(G99=TRUE,6960+((G91-28000)/100*'Impianti Titolo II'!$L$12),0)</f>
        <v>0</v>
      </c>
      <c r="H100" s="128">
        <f>IF(H99=TRUE,6960+((H91-28000)/100*'Impianti Titolo II'!$L$12),0)</f>
        <v>0</v>
      </c>
      <c r="I100" s="128">
        <f>IF(I99=TRUE,6960+((I91-28000)/100*'Impianti Titolo II'!$L$12),0)</f>
        <v>0</v>
      </c>
      <c r="J100" s="128">
        <f>IF(J99=TRUE,6960+((J91-28000)/100*'Impianti Titolo II'!$L$12),0)</f>
        <v>0</v>
      </c>
      <c r="K100" s="128">
        <f>IF(K99=TRUE,6960+((K91-28000)/100*'Impianti Titolo II'!$L$12),0)</f>
        <v>0</v>
      </c>
      <c r="L100" s="128">
        <f>IF(L99=TRUE,6960+((L91-28000)/100*'Impianti Titolo II'!$L$12),0)</f>
        <v>0</v>
      </c>
      <c r="M100" s="128">
        <f>IF(M99=TRUE,6960+((M91-28000)/100*'Impianti Titolo II'!$L$12),0)</f>
        <v>0</v>
      </c>
      <c r="N100" s="128">
        <f>IF(N99=TRUE,6960+((N91-28000)/100*'Impianti Titolo II'!$L$12),0)</f>
        <v>0</v>
      </c>
      <c r="O100" s="128">
        <f>IF(O99=TRUE,6960+((O91-28000)/100*'Impianti Titolo II'!$L$12),0)</f>
        <v>0</v>
      </c>
      <c r="P100" s="128">
        <f>IF(P99=TRUE,6960+((P91-28000)/100*'Impianti Titolo II'!$L$12),0)</f>
        <v>0</v>
      </c>
      <c r="Q100" s="128">
        <f>IF(Q99=TRUE,6960+((Q91-28000)/100*'Impianti Titolo II'!$L$12),0)</f>
        <v>0</v>
      </c>
      <c r="R100" s="128">
        <f>IF(R99=TRUE,6960+((R91-28000)/100*'Impianti Titolo II'!$L$12),0)</f>
        <v>0</v>
      </c>
      <c r="S100" s="128">
        <f>IF(S99=TRUE,6960+((S91-28000)/100*'Impianti Titolo II'!$L$12),0)</f>
        <v>0</v>
      </c>
      <c r="T100" s="128">
        <f>IF(T99=TRUE,6960+((T91-28000)/100*'Impianti Titolo II'!$L$12),0)</f>
        <v>0</v>
      </c>
      <c r="U100" s="128">
        <f>IF(U99=TRUE,6960+((U91-28000)/100*'Impianti Titolo II'!$L$12),0)</f>
        <v>0</v>
      </c>
      <c r="V100" s="128">
        <f>IF(V99=TRUE,6960+((V91-28000)/100*'Impianti Titolo II'!$L$12),0)</f>
        <v>0</v>
      </c>
      <c r="W100" s="128">
        <f>IF(W99=TRUE,6960+((W91-28000)/100*'Impianti Titolo II'!$L$12),0)</f>
        <v>0</v>
      </c>
    </row>
    <row r="101" spans="3:23">
      <c r="C101" s="127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</row>
    <row r="102" spans="3:23">
      <c r="C102" s="127" t="s">
        <v>121</v>
      </c>
      <c r="D102" s="128" t="b">
        <f>AND(D91&lt;75001,D91&gt;55000)</f>
        <v>0</v>
      </c>
      <c r="E102" s="128" t="b">
        <f t="shared" ref="E102:W102" si="41">AND(E91&lt;75001,E91&gt;55000)</f>
        <v>0</v>
      </c>
      <c r="F102" s="128" t="b">
        <f t="shared" si="41"/>
        <v>0</v>
      </c>
      <c r="G102" s="128" t="b">
        <f t="shared" si="41"/>
        <v>0</v>
      </c>
      <c r="H102" s="128" t="b">
        <f t="shared" si="41"/>
        <v>0</v>
      </c>
      <c r="I102" s="128" t="b">
        <f t="shared" si="41"/>
        <v>0</v>
      </c>
      <c r="J102" s="128" t="b">
        <f t="shared" si="41"/>
        <v>0</v>
      </c>
      <c r="K102" s="128" t="b">
        <f t="shared" si="41"/>
        <v>0</v>
      </c>
      <c r="L102" s="128" t="b">
        <f t="shared" si="41"/>
        <v>0</v>
      </c>
      <c r="M102" s="128" t="b">
        <f t="shared" si="41"/>
        <v>0</v>
      </c>
      <c r="N102" s="128" t="b">
        <f t="shared" si="41"/>
        <v>0</v>
      </c>
      <c r="O102" s="128" t="b">
        <f t="shared" si="41"/>
        <v>0</v>
      </c>
      <c r="P102" s="128" t="b">
        <f t="shared" si="41"/>
        <v>0</v>
      </c>
      <c r="Q102" s="128" t="b">
        <f t="shared" si="41"/>
        <v>0</v>
      </c>
      <c r="R102" s="128" t="b">
        <f t="shared" si="41"/>
        <v>0</v>
      </c>
      <c r="S102" s="128" t="b">
        <f t="shared" si="41"/>
        <v>0</v>
      </c>
      <c r="T102" s="128" t="b">
        <f t="shared" si="41"/>
        <v>0</v>
      </c>
      <c r="U102" s="128" t="b">
        <f t="shared" si="41"/>
        <v>0</v>
      </c>
      <c r="V102" s="128" t="b">
        <f t="shared" si="41"/>
        <v>0</v>
      </c>
      <c r="W102" s="128" t="b">
        <f t="shared" si="41"/>
        <v>0</v>
      </c>
    </row>
    <row r="103" spans="3:23">
      <c r="D103" s="128">
        <f>IF(D102=TRUE,17220+((D91-55000)/100*'Impianti Titolo II'!$L$13),0)</f>
        <v>0</v>
      </c>
      <c r="E103" s="128">
        <f>IF(E102=TRUE,17220+((E91-55000)/100*'Impianti Titolo II'!$L$13),0)</f>
        <v>0</v>
      </c>
      <c r="F103" s="128">
        <f>IF(F102=TRUE,17220+((F91-55000)/100*'Impianti Titolo II'!$L$13),0)</f>
        <v>0</v>
      </c>
      <c r="G103" s="128">
        <f>IF(G102=TRUE,17220+((G91-55000)/100*'Impianti Titolo II'!$L$13),0)</f>
        <v>0</v>
      </c>
      <c r="H103" s="128">
        <f>IF(H102=TRUE,17220+((H91-55000)/100*'Impianti Titolo II'!$L$13),0)</f>
        <v>0</v>
      </c>
      <c r="I103" s="128">
        <f>IF(I102=TRUE,17220+((I91-55000)/100*'Impianti Titolo II'!$L$13),0)</f>
        <v>0</v>
      </c>
      <c r="J103" s="128">
        <f>IF(J102=TRUE,17220+((J91-55000)/100*'Impianti Titolo II'!$L$13),0)</f>
        <v>0</v>
      </c>
      <c r="K103" s="128">
        <f>IF(K102=TRUE,17220+((K91-55000)/100*'Impianti Titolo II'!$L$13),0)</f>
        <v>0</v>
      </c>
      <c r="L103" s="128">
        <f>IF(L102=TRUE,17220+((L91-55000)/100*'Impianti Titolo II'!$L$13),0)</f>
        <v>0</v>
      </c>
      <c r="M103" s="128">
        <f>IF(M102=TRUE,17220+((M91-55000)/100*'Impianti Titolo II'!$L$13),0)</f>
        <v>0</v>
      </c>
      <c r="N103" s="128">
        <f>IF(N102=TRUE,17220+((N91-55000)/100*'Impianti Titolo II'!$L$13),0)</f>
        <v>0</v>
      </c>
      <c r="O103" s="128">
        <f>IF(O102=TRUE,17220+((O91-55000)/100*'Impianti Titolo II'!$L$13),0)</f>
        <v>0</v>
      </c>
      <c r="P103" s="128">
        <f>IF(P102=TRUE,17220+((P91-55000)/100*'Impianti Titolo II'!$L$13),0)</f>
        <v>0</v>
      </c>
      <c r="Q103" s="128">
        <f>IF(Q102=TRUE,17220+((Q91-55000)/100*'Impianti Titolo II'!$L$13),0)</f>
        <v>0</v>
      </c>
      <c r="R103" s="128">
        <f>IF(R102=TRUE,17220+((R91-55000)/100*'Impianti Titolo II'!$L$13),0)</f>
        <v>0</v>
      </c>
      <c r="S103" s="128">
        <f>IF(S102=TRUE,17220+((S91-55000)/100*'Impianti Titolo II'!$L$13),0)</f>
        <v>0</v>
      </c>
      <c r="T103" s="128">
        <f>IF(T102=TRUE,17220+((T91-55000)/100*'Impianti Titolo II'!$L$13),0)</f>
        <v>0</v>
      </c>
      <c r="U103" s="128">
        <f>IF(U102=TRUE,17220+((U91-55000)/100*'Impianti Titolo II'!$L$13),0)</f>
        <v>0</v>
      </c>
      <c r="V103" s="128">
        <f>IF(V102=TRUE,17220+((V91-55000)/100*'Impianti Titolo II'!$L$13),0)</f>
        <v>0</v>
      </c>
      <c r="W103" s="128">
        <f>IF(W102=TRUE,17220+((W91-55000)/100*'Impianti Titolo II'!$L$13),0)</f>
        <v>0</v>
      </c>
    </row>
    <row r="104" spans="3:23"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</row>
    <row r="105" spans="3:23">
      <c r="C105" s="127" t="s">
        <v>122</v>
      </c>
      <c r="D105" s="128" t="b">
        <f>AND(D91&gt;75000)</f>
        <v>0</v>
      </c>
      <c r="E105" s="128" t="b">
        <f t="shared" ref="E105:W105" si="42">AND(E91&gt;75000)</f>
        <v>0</v>
      </c>
      <c r="F105" s="128" t="b">
        <f t="shared" si="42"/>
        <v>0</v>
      </c>
      <c r="G105" s="128" t="b">
        <f t="shared" si="42"/>
        <v>0</v>
      </c>
      <c r="H105" s="128" t="b">
        <f t="shared" si="42"/>
        <v>0</v>
      </c>
      <c r="I105" s="128" t="b">
        <f t="shared" si="42"/>
        <v>0</v>
      </c>
      <c r="J105" s="128" t="b">
        <f t="shared" si="42"/>
        <v>0</v>
      </c>
      <c r="K105" s="128" t="b">
        <f t="shared" si="42"/>
        <v>0</v>
      </c>
      <c r="L105" s="128" t="b">
        <f t="shared" si="42"/>
        <v>0</v>
      </c>
      <c r="M105" s="128" t="b">
        <f t="shared" si="42"/>
        <v>0</v>
      </c>
      <c r="N105" s="128" t="b">
        <f t="shared" si="42"/>
        <v>0</v>
      </c>
      <c r="O105" s="128" t="b">
        <f t="shared" si="42"/>
        <v>0</v>
      </c>
      <c r="P105" s="128" t="b">
        <f t="shared" si="42"/>
        <v>0</v>
      </c>
      <c r="Q105" s="128" t="b">
        <f t="shared" si="42"/>
        <v>0</v>
      </c>
      <c r="R105" s="128" t="b">
        <f t="shared" si="42"/>
        <v>0</v>
      </c>
      <c r="S105" s="128" t="b">
        <f t="shared" si="42"/>
        <v>0</v>
      </c>
      <c r="T105" s="128" t="b">
        <f t="shared" si="42"/>
        <v>0</v>
      </c>
      <c r="U105" s="128" t="b">
        <f t="shared" si="42"/>
        <v>0</v>
      </c>
      <c r="V105" s="128" t="b">
        <f t="shared" si="42"/>
        <v>0</v>
      </c>
      <c r="W105" s="128" t="b">
        <f t="shared" si="42"/>
        <v>0</v>
      </c>
    </row>
    <row r="106" spans="3:23">
      <c r="D106" s="128">
        <f>IF(D105=TRUE,25420+((D91-75000)/100*'Impianti Titolo II'!$L$14),0)</f>
        <v>0</v>
      </c>
      <c r="E106" s="128">
        <f>IF(E105=TRUE,25420+((E91-75000)/100*'Impianti Titolo II'!$L$14),0)</f>
        <v>0</v>
      </c>
      <c r="F106" s="128">
        <f>IF(F105=TRUE,25420+((F91-75000)/100*'Impianti Titolo II'!$L$14),0)</f>
        <v>0</v>
      </c>
      <c r="G106" s="128">
        <f>IF(G105=TRUE,25420+((G91-75000)/100*'Impianti Titolo II'!$L$14),0)</f>
        <v>0</v>
      </c>
      <c r="H106" s="128">
        <f>IF(H105=TRUE,25420+((H91-75000)/100*'Impianti Titolo II'!$L$14),0)</f>
        <v>0</v>
      </c>
      <c r="I106" s="128">
        <f>IF(I105=TRUE,25420+((I91-75000)/100*'Impianti Titolo II'!$L$14),0)</f>
        <v>0</v>
      </c>
      <c r="J106" s="128">
        <f>IF(J105=TRUE,25420+((J91-75000)/100*'Impianti Titolo II'!$L$14),0)</f>
        <v>0</v>
      </c>
      <c r="K106" s="128">
        <f>IF(K105=TRUE,25420+((K91-75000)/100*'Impianti Titolo II'!$L$14),0)</f>
        <v>0</v>
      </c>
      <c r="L106" s="128">
        <f>IF(L105=TRUE,25420+((L91-75000)/100*'Impianti Titolo II'!$L$14),0)</f>
        <v>0</v>
      </c>
      <c r="M106" s="128">
        <f>IF(M105=TRUE,25420+((M91-75000)/100*'Impianti Titolo II'!$L$14),0)</f>
        <v>0</v>
      </c>
      <c r="N106" s="128">
        <f>IF(N105=TRUE,25420+((N91-75000)/100*'Impianti Titolo II'!$L$14),0)</f>
        <v>0</v>
      </c>
      <c r="O106" s="128">
        <f>IF(O105=TRUE,25420+((O91-75000)/100*'Impianti Titolo II'!$L$14),0)</f>
        <v>0</v>
      </c>
      <c r="P106" s="128">
        <f>IF(P105=TRUE,25420+((P91-75000)/100*'Impianti Titolo II'!$L$14),0)</f>
        <v>0</v>
      </c>
      <c r="Q106" s="128">
        <f>IF(Q105=TRUE,25420+((Q91-75000)/100*'Impianti Titolo II'!$L$14),0)</f>
        <v>0</v>
      </c>
      <c r="R106" s="128">
        <f>IF(R105=TRUE,25420+((R91-75000)/100*'Impianti Titolo II'!$L$14),0)</f>
        <v>0</v>
      </c>
      <c r="S106" s="128">
        <f>IF(S105=TRUE,25420+((S91-75000)/100*'Impianti Titolo II'!$L$14),0)</f>
        <v>0</v>
      </c>
      <c r="T106" s="128">
        <f>IF(T105=TRUE,25420+((T91-75000)/100*'Impianti Titolo II'!$L$14),0)</f>
        <v>0</v>
      </c>
      <c r="U106" s="128">
        <f>IF(U105=TRUE,25420+((U91-75000)/100*'Impianti Titolo II'!$L$14),0)</f>
        <v>0</v>
      </c>
      <c r="V106" s="128">
        <f>IF(V105=TRUE,25420+((V91-75000)/100*'Impianti Titolo II'!$L$14),0)</f>
        <v>0</v>
      </c>
      <c r="W106" s="128">
        <f>IF(W105=TRUE,25420+((W91-75000)/100*'Impianti Titolo II'!$L$14),0)</f>
        <v>0</v>
      </c>
    </row>
    <row r="107" spans="3:23"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</row>
    <row r="108" spans="3:23"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</row>
    <row r="109" spans="3:23">
      <c r="D109" s="128">
        <f>D94+D97+D100+D103+D106</f>
        <v>1610.345</v>
      </c>
      <c r="E109" s="128">
        <f t="shared" ref="E109:W109" si="43">E94+E97+E100+E103+E106</f>
        <v>628.96662499999968</v>
      </c>
      <c r="F109" s="128">
        <f t="shared" si="43"/>
        <v>597.83540337500017</v>
      </c>
      <c r="G109" s="128">
        <f t="shared" si="43"/>
        <v>566.81699910462498</v>
      </c>
      <c r="H109" s="128">
        <f t="shared" si="43"/>
        <v>535.9070495598836</v>
      </c>
      <c r="I109" s="128">
        <f t="shared" si="43"/>
        <v>505.10116442998844</v>
      </c>
      <c r="J109" s="128">
        <f t="shared" si="43"/>
        <v>474.39492463258568</v>
      </c>
      <c r="K109" s="128">
        <f t="shared" si="43"/>
        <v>443.78388120700816</v>
      </c>
      <c r="L109" s="128">
        <f t="shared" si="43"/>
        <v>413.26355419018364</v>
      </c>
      <c r="M109" s="128">
        <f t="shared" si="43"/>
        <v>382.82943147479074</v>
      </c>
      <c r="N109" s="128">
        <f t="shared" si="43"/>
        <v>352.47696764928338</v>
      </c>
      <c r="O109" s="128">
        <f t="shared" si="43"/>
        <v>1061.1915828193612</v>
      </c>
      <c r="P109" s="128">
        <f t="shared" si="43"/>
        <v>2192.2586614104862</v>
      </c>
      <c r="Q109" s="128">
        <f t="shared" si="43"/>
        <v>2162.1235509510207</v>
      </c>
      <c r="R109" s="128">
        <f t="shared" si="43"/>
        <v>2132.0515608355558</v>
      </c>
      <c r="S109" s="128">
        <f t="shared" si="43"/>
        <v>2102.0379610679915</v>
      </c>
      <c r="T109" s="128">
        <f t="shared" si="43"/>
        <v>2072.077980983935</v>
      </c>
      <c r="U109" s="128">
        <f t="shared" si="43"/>
        <v>2042.1668079519452</v>
      </c>
      <c r="V109" s="128">
        <f t="shared" si="43"/>
        <v>2012.2995860531814</v>
      </c>
      <c r="W109" s="128">
        <f t="shared" si="43"/>
        <v>1982.4714147389618</v>
      </c>
    </row>
    <row r="110" spans="3:23"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</row>
    <row r="113" spans="3:22">
      <c r="C113" s="128">
        <f>'Impianti Titolo II'!E70</f>
        <v>-105054.72100000001</v>
      </c>
      <c r="D113" s="128">
        <f>'Impianti Titolo II'!F70</f>
        <v>-92526.269675000003</v>
      </c>
      <c r="E113" s="128">
        <f>'Impianti Titolo II'!G70</f>
        <v>-80032.285802325001</v>
      </c>
      <c r="F113" s="128">
        <f>'Impianti Titolo II'!H70</f>
        <v>-67571.265195952074</v>
      </c>
      <c r="G113" s="128">
        <f>'Impianti Titolo II'!I70</f>
        <v>-55141.693327953464</v>
      </c>
      <c r="H113" s="128">
        <f>'Impianti Titolo II'!J70</f>
        <v>-42742.044943982139</v>
      </c>
      <c r="I113" s="128">
        <f>'Impianti Titolo II'!K70</f>
        <v>-30370.783672666166</v>
      </c>
      <c r="J113" s="128">
        <f>'Impianti Titolo II'!L70</f>
        <v>-18026.36162877563</v>
      </c>
      <c r="K113" s="128">
        <f>'Impianti Titolo II'!M70</f>
        <v>-5707.2190100233802</v>
      </c>
      <c r="L113" s="128">
        <f>'Impianti Titolo II'!N70</f>
        <v>6588.2163126419628</v>
      </c>
      <c r="M113" s="128">
        <f>'Impianti Titolo II'!O70</f>
        <v>18861.52921139482</v>
      </c>
      <c r="N113" s="128">
        <f>'Impianti Titolo II'!P70</f>
        <v>30105.435724690236</v>
      </c>
      <c r="O113" s="128">
        <f>'Impianti Titolo II'!Q70</f>
        <v>39745.043487369956</v>
      </c>
      <c r="P113" s="128">
        <f>'Impianti Titolo II'!R70</f>
        <v>49367.364167869586</v>
      </c>
      <c r="Q113" s="128">
        <f>'Impianti Titolo II'!S70</f>
        <v>58974.037912682448</v>
      </c>
      <c r="R113" s="128">
        <f>'Impianti Titolo II'!T70</f>
        <v>68566.719798238468</v>
      </c>
      <c r="S113" s="128">
        <f>'Impianti Titolo II'!U70</f>
        <v>78147.080290359896</v>
      </c>
      <c r="T113" s="128">
        <f>'Impianti Titolo II'!V70</f>
        <v>87716.805711458335</v>
      </c>
      <c r="U113" s="128">
        <f>'Impianti Titolo II'!W70</f>
        <v>97277.598715641114</v>
      </c>
      <c r="V113" s="128">
        <f>'Impianti Titolo II'!X70</f>
        <v>106831.17877189796</v>
      </c>
    </row>
    <row r="116" spans="3:22">
      <c r="C116" s="7" t="s">
        <v>98</v>
      </c>
      <c r="D116" s="7" t="b">
        <f>AND(D75&gt;1,D75&lt;4)</f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F11:G11"/>
    <mergeCell ref="L11:M11"/>
    <mergeCell ref="F21:G21"/>
    <mergeCell ref="L21:M21"/>
    <mergeCell ref="D1:D5"/>
    <mergeCell ref="D7:D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Impianti Titolo II</vt:lpstr>
      <vt:lpstr>Calcoli Titolo II</vt:lpstr>
      <vt:lpstr>'Impianti Titolo II'!Area_stampa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2012-07-18T12:57:25Z</cp:lastPrinted>
  <dcterms:created xsi:type="dcterms:W3CDTF">2012-05-08T21:23:52Z</dcterms:created>
  <dcterms:modified xsi:type="dcterms:W3CDTF">2012-07-18T16:57:48Z</dcterms:modified>
</cp:coreProperties>
</file>