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240" yWindow="120" windowWidth="20115" windowHeight="7995"/>
  </bookViews>
  <sheets>
    <sheet name="Simulazione 10.1" sheetId="1" r:id="rId1"/>
    <sheet name="Finanziamento" sheetId="7" r:id="rId2"/>
    <sheet name="Calcoli" sheetId="6" r:id="rId3"/>
    <sheet name="Autoconsumo" sheetId="8" r:id="rId4"/>
  </sheets>
  <externalReferences>
    <externalReference r:id="rId5"/>
  </externalReferences>
  <definedNames>
    <definedName name="a">#REF!</definedName>
    <definedName name="_xlnm.Print_Area" localSheetId="0">'Simulazione 10.1'!$A$3:$X$108</definedName>
    <definedName name="b">IF(Payment_Number&lt;=Number_of_Payments,1,0)</definedName>
    <definedName name="Beginning_Balance">-FV(Interest_Rate/12,Payment_Number-1,-Monthly_Payment,Loan_Amount)</definedName>
    <definedName name="Ending_Balance">-FV(Interest_Rate/12,Payment_Number,-Monthly_Payment,Loan_Amount)</definedName>
    <definedName name="Header_Row">ROW('[1]Importo del prestito'!$15:$15)</definedName>
    <definedName name="Interest">-IPMT(Interest_Rate/12,Payment_Number,Number_of_Payments,Loan_Amount)</definedName>
    <definedName name="Interest_Rate">Finanziamento!$E$5</definedName>
    <definedName name="Last_Row">IF(Values_Entered,Header_Row+Number_of_Payments,Header_Row)</definedName>
    <definedName name="Loan_Amount">Finanziamento!$E$4</definedName>
    <definedName name="Loan_Not_Paid">IF(Payment_Number&lt;=Number_of_Payments,1,0)</definedName>
    <definedName name="Loan_Start">Finanziamento!$E$7</definedName>
    <definedName name="Loan_Years">Finanziamento!$E$6</definedName>
    <definedName name="Monthly_Payment">-PMT(Interest_Rate/12,Number_of_Payments,Loan_Amount)</definedName>
    <definedName name="Number_of_Payments">Finanziamento!$E$10</definedName>
    <definedName name="Payment_Date">DATE(YEAR(Loan_Start),MONTH(Loan_Start)+Payment_Number,DAY(Loan_Start))</definedName>
    <definedName name="Payment_Number">ROW()-Header_Row</definedName>
    <definedName name="Principal">-PPMT(Interest_Rate/12,Payment_Number,Number_of_Payments,Loan_Amount)</definedName>
    <definedName name="Total_Cost">Finanziamento!$E$12</definedName>
    <definedName name="Total_Interest">Finanziamento!$E$11</definedName>
    <definedName name="Values_Entered">IF(Loan_Amount*Interest_Rate*Loan_Years*Loan_Start&gt;0,1,0)</definedName>
  </definedNames>
  <calcPr calcId="125725" forceFullCalc="1"/>
</workbook>
</file>

<file path=xl/calcChain.xml><?xml version="1.0" encoding="utf-8"?>
<calcChain xmlns="http://schemas.openxmlformats.org/spreadsheetml/2006/main">
  <c r="G36" i="6"/>
  <c r="AE265"/>
  <c r="AD265"/>
  <c r="AC265"/>
  <c r="AB265"/>
  <c r="AA265"/>
  <c r="Z265"/>
  <c r="Y265"/>
  <c r="X265"/>
  <c r="W265"/>
  <c r="V265"/>
  <c r="U265"/>
  <c r="T265"/>
  <c r="S265"/>
  <c r="R265"/>
  <c r="Q265"/>
  <c r="P265"/>
  <c r="O265"/>
  <c r="N265"/>
  <c r="M265"/>
  <c r="L265"/>
  <c r="K265"/>
  <c r="J265"/>
  <c r="I265"/>
  <c r="H265"/>
  <c r="G265"/>
  <c r="O72"/>
  <c r="C35" i="1"/>
  <c r="U49" i="6" l="1"/>
  <c r="AE256"/>
  <c r="AD256"/>
  <c r="AC256"/>
  <c r="AB256"/>
  <c r="AA256"/>
  <c r="Z256"/>
  <c r="Y256"/>
  <c r="X256"/>
  <c r="W256"/>
  <c r="V256"/>
  <c r="U256"/>
  <c r="T256"/>
  <c r="S256"/>
  <c r="R256"/>
  <c r="Q256"/>
  <c r="P256"/>
  <c r="O256"/>
  <c r="N256"/>
  <c r="M256"/>
  <c r="L256"/>
  <c r="K256"/>
  <c r="J256"/>
  <c r="I256"/>
  <c r="H256"/>
  <c r="G256"/>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B2"/>
  <c r="B1"/>
  <c r="D1" l="1"/>
  <c r="E2"/>
  <c r="A2"/>
  <c r="A3" s="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D201" s="1"/>
  <c r="I41" i="1"/>
  <c r="R77" i="6"/>
  <c r="Q72"/>
  <c r="S72" s="1"/>
  <c r="Q73"/>
  <c r="S73" s="1"/>
  <c r="Q74"/>
  <c r="S74" s="1"/>
  <c r="Q75"/>
  <c r="S75" s="1"/>
  <c r="Q76"/>
  <c r="S76" s="1"/>
  <c r="AA16"/>
  <c r="AA17"/>
  <c r="AA18"/>
  <c r="AA19"/>
  <c r="AA20"/>
  <c r="AA21"/>
  <c r="AA22"/>
  <c r="AA23"/>
  <c r="AA24"/>
  <c r="AA25"/>
  <c r="AA26"/>
  <c r="AA27"/>
  <c r="AA28"/>
  <c r="AA29"/>
  <c r="AA30"/>
  <c r="AA31"/>
  <c r="AA32"/>
  <c r="AA33"/>
  <c r="AA34"/>
  <c r="AA35"/>
  <c r="AA36"/>
  <c r="AA37"/>
  <c r="E5" i="7"/>
  <c r="E6"/>
  <c r="D115" i="8"/>
  <c r="K176" s="1"/>
  <c r="K164"/>
  <c r="K168" s="1"/>
  <c r="G13" i="6"/>
  <c r="K13" s="1"/>
  <c r="G14"/>
  <c r="K14" s="1"/>
  <c r="G15"/>
  <c r="K15" s="1"/>
  <c r="G16"/>
  <c r="K16" s="1"/>
  <c r="G17"/>
  <c r="K17" s="1"/>
  <c r="G18"/>
  <c r="K18" s="1"/>
  <c r="G23"/>
  <c r="K23" s="1"/>
  <c r="G24"/>
  <c r="K24" s="1"/>
  <c r="G25"/>
  <c r="G26"/>
  <c r="K26" s="1"/>
  <c r="G27"/>
  <c r="K27" s="1"/>
  <c r="G28"/>
  <c r="K28" s="1"/>
  <c r="G33"/>
  <c r="K33" s="1"/>
  <c r="G34"/>
  <c r="K34" s="1"/>
  <c r="G35"/>
  <c r="K35" s="1"/>
  <c r="K36"/>
  <c r="G37"/>
  <c r="K37" s="1"/>
  <c r="G38"/>
  <c r="K38" s="1"/>
  <c r="G45"/>
  <c r="L45" s="1"/>
  <c r="G46"/>
  <c r="K46" s="1"/>
  <c r="G47"/>
  <c r="K47" s="1"/>
  <c r="G48"/>
  <c r="K48" s="1"/>
  <c r="G49"/>
  <c r="K49" s="1"/>
  <c r="G50"/>
  <c r="K50" s="1"/>
  <c r="G59"/>
  <c r="K59" s="1"/>
  <c r="G60"/>
  <c r="K60" s="1"/>
  <c r="G61"/>
  <c r="K61" s="1"/>
  <c r="G62"/>
  <c r="G63"/>
  <c r="K63" s="1"/>
  <c r="G64"/>
  <c r="K64" s="1"/>
  <c r="K130"/>
  <c r="K140"/>
  <c r="K150"/>
  <c r="K162"/>
  <c r="K176"/>
  <c r="P1"/>
  <c r="S3" s="1"/>
  <c r="U3" s="1"/>
  <c r="X6"/>
  <c r="J13"/>
  <c r="J14"/>
  <c r="L130"/>
  <c r="L140"/>
  <c r="L150"/>
  <c r="L162"/>
  <c r="L176"/>
  <c r="D116" i="8"/>
  <c r="G119" s="1"/>
  <c r="E70" i="1" s="1"/>
  <c r="G239" i="6"/>
  <c r="G251"/>
  <c r="H251" s="1"/>
  <c r="I251" s="1"/>
  <c r="J251" s="1"/>
  <c r="K251" s="1"/>
  <c r="L251" s="1"/>
  <c r="M251" s="1"/>
  <c r="N251" s="1"/>
  <c r="O251" s="1"/>
  <c r="P251" s="1"/>
  <c r="Q251" s="1"/>
  <c r="R251" s="1"/>
  <c r="S251" s="1"/>
  <c r="T251" s="1"/>
  <c r="U251" s="1"/>
  <c r="V251" s="1"/>
  <c r="W251" s="1"/>
  <c r="X251" s="1"/>
  <c r="Y251" s="1"/>
  <c r="Z251" s="1"/>
  <c r="AA251" s="1"/>
  <c r="AB251" s="1"/>
  <c r="AC251" s="1"/>
  <c r="AD251" s="1"/>
  <c r="AE251" s="1"/>
  <c r="G236"/>
  <c r="E81" i="1"/>
  <c r="G247" i="6"/>
  <c r="H247" s="1"/>
  <c r="L76"/>
  <c r="L78"/>
  <c r="L72"/>
  <c r="I78"/>
  <c r="G82" s="1"/>
  <c r="I79"/>
  <c r="J86" s="1"/>
  <c r="E91" i="1"/>
  <c r="E93"/>
  <c r="L74" i="6"/>
  <c r="R131"/>
  <c r="E92" i="1" s="1"/>
  <c r="E96"/>
  <c r="E97"/>
  <c r="AA3" i="8"/>
  <c r="H239" i="6"/>
  <c r="F81" i="1"/>
  <c r="F91"/>
  <c r="S131" i="6"/>
  <c r="F92" i="1" s="1"/>
  <c r="F97"/>
  <c r="I239" i="6"/>
  <c r="G81" i="1"/>
  <c r="G91"/>
  <c r="T127" i="6"/>
  <c r="T131" s="1"/>
  <c r="G92" i="1" s="1"/>
  <c r="G97"/>
  <c r="J239" i="6"/>
  <c r="H81" i="1"/>
  <c r="H91"/>
  <c r="U131" i="6"/>
  <c r="H92" i="1" s="1"/>
  <c r="H97"/>
  <c r="K239" i="6"/>
  <c r="I81" i="1"/>
  <c r="I91"/>
  <c r="V127" i="6"/>
  <c r="V131" s="1"/>
  <c r="I92" i="1" s="1"/>
  <c r="I97"/>
  <c r="L239" i="6"/>
  <c r="J81" i="1"/>
  <c r="J91"/>
  <c r="W127" i="6"/>
  <c r="W131" s="1"/>
  <c r="J92" i="1" s="1"/>
  <c r="J97"/>
  <c r="M239" i="6"/>
  <c r="K81" i="1"/>
  <c r="K91"/>
  <c r="X131" i="6"/>
  <c r="K92" i="1" s="1"/>
  <c r="K97"/>
  <c r="N239" i="6"/>
  <c r="L81" i="1"/>
  <c r="L91"/>
  <c r="Y131" i="6"/>
  <c r="L92" i="1" s="1"/>
  <c r="L97"/>
  <c r="O239" i="6"/>
  <c r="M81" i="1"/>
  <c r="M91"/>
  <c r="Z127" i="6"/>
  <c r="Z131" s="1"/>
  <c r="M92" i="1" s="1"/>
  <c r="M97"/>
  <c r="P239" i="6"/>
  <c r="N81" i="1"/>
  <c r="N91"/>
  <c r="AA127" i="6"/>
  <c r="AA128"/>
  <c r="N97" i="1"/>
  <c r="Q239" i="6"/>
  <c r="O91" i="1"/>
  <c r="O90"/>
  <c r="AB131" i="6"/>
  <c r="O92" i="1" s="1"/>
  <c r="O97"/>
  <c r="R239" i="6"/>
  <c r="P91" i="1"/>
  <c r="P90"/>
  <c r="AC127" i="6"/>
  <c r="AC131" s="1"/>
  <c r="P92" i="1" s="1"/>
  <c r="P97"/>
  <c r="S239" i="6"/>
  <c r="Q91" i="1"/>
  <c r="Q90"/>
  <c r="AD131" i="6"/>
  <c r="Q92" i="1" s="1"/>
  <c r="Q97"/>
  <c r="T239" i="6"/>
  <c r="R91" i="1"/>
  <c r="R90"/>
  <c r="AE131" i="6"/>
  <c r="R92" i="1" s="1"/>
  <c r="R97"/>
  <c r="U239" i="6"/>
  <c r="S91" i="1"/>
  <c r="S90"/>
  <c r="AF127" i="6"/>
  <c r="AF128"/>
  <c r="S97" i="1"/>
  <c r="V239" i="6"/>
  <c r="T91" i="1"/>
  <c r="T90"/>
  <c r="AG131" i="6"/>
  <c r="T92" i="1" s="1"/>
  <c r="T97"/>
  <c r="W239" i="6"/>
  <c r="U91" i="1"/>
  <c r="U90"/>
  <c r="AH131" i="6"/>
  <c r="U92" i="1" s="1"/>
  <c r="U97"/>
  <c r="X239" i="6"/>
  <c r="V91" i="1"/>
  <c r="V90"/>
  <c r="AI127" i="6"/>
  <c r="AI131" s="1"/>
  <c r="V92" i="1" s="1"/>
  <c r="V97"/>
  <c r="Y239" i="6"/>
  <c r="W91" i="1"/>
  <c r="W90"/>
  <c r="AJ131" i="6"/>
  <c r="W92" i="1" s="1"/>
  <c r="W97"/>
  <c r="Z239" i="6"/>
  <c r="X91" i="1"/>
  <c r="X90"/>
  <c r="AK128" i="6"/>
  <c r="AK129"/>
  <c r="X97" i="1"/>
  <c r="V11" i="6"/>
  <c r="W11" s="1"/>
  <c r="V7"/>
  <c r="W7" s="1"/>
  <c r="V3"/>
  <c r="W3" s="1"/>
  <c r="G218"/>
  <c r="K218" s="1"/>
  <c r="G217"/>
  <c r="K217" s="1"/>
  <c r="G216"/>
  <c r="K216" s="1"/>
  <c r="K219" s="1"/>
  <c r="G210"/>
  <c r="K210" s="1"/>
  <c r="G209"/>
  <c r="K209" s="1"/>
  <c r="G208"/>
  <c r="L208" s="1"/>
  <c r="G202"/>
  <c r="K202" s="1"/>
  <c r="G201"/>
  <c r="K201" s="1"/>
  <c r="G200"/>
  <c r="K200" s="1"/>
  <c r="K203" s="1"/>
  <c r="G194"/>
  <c r="K194" s="1"/>
  <c r="G193"/>
  <c r="L193" s="1"/>
  <c r="G192"/>
  <c r="K192" s="1"/>
  <c r="G187"/>
  <c r="K187" s="1"/>
  <c r="G186"/>
  <c r="L186" s="1"/>
  <c r="G185"/>
  <c r="L185" s="1"/>
  <c r="G124"/>
  <c r="K124" s="1"/>
  <c r="M59"/>
  <c r="R59" s="1"/>
  <c r="M45"/>
  <c r="R45" s="1"/>
  <c r="M33"/>
  <c r="R33" s="1"/>
  <c r="M23"/>
  <c r="R23" s="1"/>
  <c r="M13"/>
  <c r="Q13" s="1"/>
  <c r="M64"/>
  <c r="Q64" s="1"/>
  <c r="M63"/>
  <c r="Q63" s="1"/>
  <c r="M62"/>
  <c r="Q62" s="1"/>
  <c r="M61"/>
  <c r="Q61" s="1"/>
  <c r="M60"/>
  <c r="Q60" s="1"/>
  <c r="M50"/>
  <c r="R50" s="1"/>
  <c r="M49"/>
  <c r="Q49" s="1"/>
  <c r="M48"/>
  <c r="Q48" s="1"/>
  <c r="M47"/>
  <c r="Q47" s="1"/>
  <c r="M46"/>
  <c r="Q46" s="1"/>
  <c r="M38"/>
  <c r="Q38" s="1"/>
  <c r="M37"/>
  <c r="R37" s="1"/>
  <c r="M36"/>
  <c r="R36" s="1"/>
  <c r="M35"/>
  <c r="Q35" s="1"/>
  <c r="M34"/>
  <c r="Q34" s="1"/>
  <c r="M28"/>
  <c r="Q28" s="1"/>
  <c r="M27"/>
  <c r="Q27" s="1"/>
  <c r="M26"/>
  <c r="R26" s="1"/>
  <c r="M25"/>
  <c r="R25" s="1"/>
  <c r="M24"/>
  <c r="Q24" s="1"/>
  <c r="M18"/>
  <c r="R18" s="1"/>
  <c r="M17"/>
  <c r="Q17" s="1"/>
  <c r="M16"/>
  <c r="Q16" s="1"/>
  <c r="M15"/>
  <c r="M14"/>
  <c r="Q14" s="1"/>
  <c r="AE239"/>
  <c r="AD239"/>
  <c r="AC239"/>
  <c r="AB239"/>
  <c r="AA239"/>
  <c r="W63" i="8"/>
  <c r="W64" s="1"/>
  <c r="V63"/>
  <c r="V64" s="1"/>
  <c r="U63"/>
  <c r="U64" s="1"/>
  <c r="T63"/>
  <c r="T64" s="1"/>
  <c r="S63"/>
  <c r="S64" s="1"/>
  <c r="R63"/>
  <c r="R64" s="1"/>
  <c r="Q63"/>
  <c r="Q64" s="1"/>
  <c r="P63"/>
  <c r="P64" s="1"/>
  <c r="O63"/>
  <c r="O64" s="1"/>
  <c r="N63"/>
  <c r="N64" s="1"/>
  <c r="M63"/>
  <c r="M64" s="1"/>
  <c r="AM64"/>
  <c r="AL64"/>
  <c r="AK64"/>
  <c r="AJ64"/>
  <c r="AI64"/>
  <c r="AH64"/>
  <c r="AG64"/>
  <c r="AF64"/>
  <c r="AE64"/>
  <c r="AD64"/>
  <c r="AC64"/>
  <c r="AB64"/>
  <c r="L63"/>
  <c r="L64" s="1"/>
  <c r="X62"/>
  <c r="X61"/>
  <c r="X60"/>
  <c r="X59"/>
  <c r="X58"/>
  <c r="X57"/>
  <c r="X56"/>
  <c r="X55"/>
  <c r="X54"/>
  <c r="X53"/>
  <c r="X52"/>
  <c r="X51"/>
  <c r="X50"/>
  <c r="X49"/>
  <c r="X48"/>
  <c r="X47"/>
  <c r="X46"/>
  <c r="X45"/>
  <c r="X44"/>
  <c r="X43"/>
  <c r="X42"/>
  <c r="X41"/>
  <c r="X40"/>
  <c r="X39"/>
  <c r="AP128" i="6"/>
  <c r="AP131" s="1"/>
  <c r="AC92" i="1" s="1"/>
  <c r="AO127" i="6"/>
  <c r="AO131" s="1"/>
  <c r="AB92" i="1" s="1"/>
  <c r="AL127" i="6"/>
  <c r="AL131" s="1"/>
  <c r="Y92" i="1" s="1"/>
  <c r="AN131" i="6"/>
  <c r="AA92" i="1" s="1"/>
  <c r="AM131" i="6"/>
  <c r="Z92" i="1" s="1"/>
  <c r="AC90"/>
  <c r="AB90"/>
  <c r="AA90"/>
  <c r="Z90"/>
  <c r="Y90"/>
  <c r="G260" i="6"/>
  <c r="H260" s="1"/>
  <c r="I260" s="1"/>
  <c r="J260" s="1"/>
  <c r="K260" s="1"/>
  <c r="L260" s="1"/>
  <c r="M260" s="1"/>
  <c r="N260" s="1"/>
  <c r="O260" s="1"/>
  <c r="P260" s="1"/>
  <c r="Q260" s="1"/>
  <c r="R260" s="1"/>
  <c r="S260" s="1"/>
  <c r="T260" s="1"/>
  <c r="U260" s="1"/>
  <c r="V260" s="1"/>
  <c r="W260" s="1"/>
  <c r="X260" s="1"/>
  <c r="Y260" s="1"/>
  <c r="Z260" s="1"/>
  <c r="AA260" s="1"/>
  <c r="AB260" s="1"/>
  <c r="AC260" s="1"/>
  <c r="AD260" s="1"/>
  <c r="AE260" s="1"/>
  <c r="AC97" i="1"/>
  <c r="AB97"/>
  <c r="AA97"/>
  <c r="Z97"/>
  <c r="Y97"/>
  <c r="T57" i="6"/>
  <c r="G233"/>
  <c r="G224"/>
  <c r="H224" s="1"/>
  <c r="I224" s="1"/>
  <c r="AC91" i="1"/>
  <c r="AB91"/>
  <c r="AA91"/>
  <c r="Z91"/>
  <c r="Y91"/>
  <c r="P175" i="6"/>
  <c r="J175"/>
  <c r="G175"/>
  <c r="K175" s="1"/>
  <c r="P174"/>
  <c r="J174"/>
  <c r="G174"/>
  <c r="K174" s="1"/>
  <c r="P173"/>
  <c r="J173"/>
  <c r="G173"/>
  <c r="K173" s="1"/>
  <c r="P172"/>
  <c r="J172"/>
  <c r="G172"/>
  <c r="K172" s="1"/>
  <c r="P171"/>
  <c r="J171"/>
  <c r="G171"/>
  <c r="K171" s="1"/>
  <c r="P170"/>
  <c r="J170"/>
  <c r="G170"/>
  <c r="K170" s="1"/>
  <c r="P161"/>
  <c r="J161"/>
  <c r="G161"/>
  <c r="K161" s="1"/>
  <c r="P160"/>
  <c r="J160"/>
  <c r="G160"/>
  <c r="K160" s="1"/>
  <c r="P159"/>
  <c r="J159"/>
  <c r="G159"/>
  <c r="K159" s="1"/>
  <c r="P158"/>
  <c r="J158"/>
  <c r="G158"/>
  <c r="K158" s="1"/>
  <c r="P157"/>
  <c r="J157"/>
  <c r="G157"/>
  <c r="K157" s="1"/>
  <c r="P156"/>
  <c r="J156"/>
  <c r="G156"/>
  <c r="P149"/>
  <c r="J149"/>
  <c r="G149"/>
  <c r="P148"/>
  <c r="J148"/>
  <c r="G148"/>
  <c r="K148" s="1"/>
  <c r="P147"/>
  <c r="J147"/>
  <c r="G147"/>
  <c r="P146"/>
  <c r="J146"/>
  <c r="G146"/>
  <c r="P145"/>
  <c r="J145"/>
  <c r="G145"/>
  <c r="P144"/>
  <c r="J144"/>
  <c r="G144"/>
  <c r="K144" s="1"/>
  <c r="P139"/>
  <c r="J139"/>
  <c r="G139"/>
  <c r="K139" s="1"/>
  <c r="P138"/>
  <c r="J138"/>
  <c r="G138"/>
  <c r="L138" s="1"/>
  <c r="P137"/>
  <c r="J137"/>
  <c r="G137"/>
  <c r="K137" s="1"/>
  <c r="P136"/>
  <c r="J136"/>
  <c r="G136"/>
  <c r="K136" s="1"/>
  <c r="P135"/>
  <c r="J135"/>
  <c r="G135"/>
  <c r="P134"/>
  <c r="J134"/>
  <c r="G134"/>
  <c r="P129"/>
  <c r="J129"/>
  <c r="G129"/>
  <c r="L129" s="1"/>
  <c r="P128"/>
  <c r="J128"/>
  <c r="G128"/>
  <c r="L128" s="1"/>
  <c r="P127"/>
  <c r="J127"/>
  <c r="G127"/>
  <c r="K127" s="1"/>
  <c r="P126"/>
  <c r="J126"/>
  <c r="G126"/>
  <c r="K126" s="1"/>
  <c r="P125"/>
  <c r="J125"/>
  <c r="G125"/>
  <c r="P124"/>
  <c r="J124"/>
  <c r="G117"/>
  <c r="V39"/>
  <c r="V38"/>
  <c r="V37"/>
  <c r="V36"/>
  <c r="V35"/>
  <c r="V34"/>
  <c r="V33"/>
  <c r="V32"/>
  <c r="V31"/>
  <c r="V30"/>
  <c r="P64"/>
  <c r="J64"/>
  <c r="P63"/>
  <c r="J63"/>
  <c r="P62"/>
  <c r="J62"/>
  <c r="P61"/>
  <c r="J61"/>
  <c r="P60"/>
  <c r="J60"/>
  <c r="P59"/>
  <c r="J59"/>
  <c r="P50"/>
  <c r="J50"/>
  <c r="P49"/>
  <c r="J49"/>
  <c r="P48"/>
  <c r="J48"/>
  <c r="P47"/>
  <c r="J47"/>
  <c r="P46"/>
  <c r="J46"/>
  <c r="P45"/>
  <c r="J45"/>
  <c r="P38"/>
  <c r="J38"/>
  <c r="P37"/>
  <c r="J37"/>
  <c r="P36"/>
  <c r="J36"/>
  <c r="P35"/>
  <c r="J35"/>
  <c r="P34"/>
  <c r="J34"/>
  <c r="P33"/>
  <c r="J33"/>
  <c r="P28"/>
  <c r="J28"/>
  <c r="P27"/>
  <c r="J27"/>
  <c r="P26"/>
  <c r="J26"/>
  <c r="P25"/>
  <c r="J25"/>
  <c r="P24"/>
  <c r="J24"/>
  <c r="P23"/>
  <c r="J23"/>
  <c r="P18"/>
  <c r="J18"/>
  <c r="P17"/>
  <c r="J17"/>
  <c r="P16"/>
  <c r="J16"/>
  <c r="P15"/>
  <c r="J15"/>
  <c r="P14"/>
  <c r="P13"/>
  <c r="T53"/>
  <c r="T52"/>
  <c r="E69" i="1"/>
  <c r="L62" i="6" l="1"/>
  <c r="L25"/>
  <c r="L135"/>
  <c r="AD86"/>
  <c r="AA86"/>
  <c r="R15"/>
  <c r="R27"/>
  <c r="D2"/>
  <c r="D10"/>
  <c r="D18"/>
  <c r="D26"/>
  <c r="D7"/>
  <c r="D15"/>
  <c r="D23"/>
  <c r="D6"/>
  <c r="D14"/>
  <c r="D22"/>
  <c r="D11"/>
  <c r="D19"/>
  <c r="D9"/>
  <c r="D13"/>
  <c r="D17"/>
  <c r="D21"/>
  <c r="D25"/>
  <c r="D29"/>
  <c r="D33"/>
  <c r="D37"/>
  <c r="D41"/>
  <c r="D45"/>
  <c r="D49"/>
  <c r="D53"/>
  <c r="D57"/>
  <c r="D61"/>
  <c r="D65"/>
  <c r="D69"/>
  <c r="D73"/>
  <c r="D77"/>
  <c r="D81"/>
  <c r="D85"/>
  <c r="D89"/>
  <c r="D93"/>
  <c r="D97"/>
  <c r="D101"/>
  <c r="D105"/>
  <c r="D109"/>
  <c r="D113"/>
  <c r="D117"/>
  <c r="D121"/>
  <c r="D125"/>
  <c r="D129"/>
  <c r="D133"/>
  <c r="D137"/>
  <c r="D141"/>
  <c r="D145"/>
  <c r="D149"/>
  <c r="D153"/>
  <c r="D157"/>
  <c r="D161"/>
  <c r="D165"/>
  <c r="D169"/>
  <c r="D173"/>
  <c r="D177"/>
  <c r="D181"/>
  <c r="D185"/>
  <c r="D189"/>
  <c r="D193"/>
  <c r="D197"/>
  <c r="D4"/>
  <c r="D8"/>
  <c r="D12"/>
  <c r="D16"/>
  <c r="D20"/>
  <c r="D24"/>
  <c r="D28"/>
  <c r="D32"/>
  <c r="D36"/>
  <c r="D40"/>
  <c r="D44"/>
  <c r="D48"/>
  <c r="D52"/>
  <c r="D56"/>
  <c r="D60"/>
  <c r="D64"/>
  <c r="D68"/>
  <c r="D72"/>
  <c r="D76"/>
  <c r="D80"/>
  <c r="D84"/>
  <c r="D88"/>
  <c r="D92"/>
  <c r="D96"/>
  <c r="D100"/>
  <c r="D104"/>
  <c r="D108"/>
  <c r="D112"/>
  <c r="D116"/>
  <c r="D120"/>
  <c r="D124"/>
  <c r="D128"/>
  <c r="D132"/>
  <c r="D136"/>
  <c r="D140"/>
  <c r="D144"/>
  <c r="D148"/>
  <c r="D152"/>
  <c r="D156"/>
  <c r="D160"/>
  <c r="D164"/>
  <c r="D168"/>
  <c r="D172"/>
  <c r="D176"/>
  <c r="D180"/>
  <c r="D184"/>
  <c r="D188"/>
  <c r="D192"/>
  <c r="D196"/>
  <c r="D200"/>
  <c r="D27"/>
  <c r="D31"/>
  <c r="D35"/>
  <c r="D39"/>
  <c r="D43"/>
  <c r="D47"/>
  <c r="D51"/>
  <c r="D55"/>
  <c r="D59"/>
  <c r="D63"/>
  <c r="D67"/>
  <c r="D71"/>
  <c r="D75"/>
  <c r="D79"/>
  <c r="D83"/>
  <c r="D87"/>
  <c r="D91"/>
  <c r="D95"/>
  <c r="D99"/>
  <c r="D103"/>
  <c r="D107"/>
  <c r="D111"/>
  <c r="D115"/>
  <c r="D119"/>
  <c r="D123"/>
  <c r="D127"/>
  <c r="D131"/>
  <c r="D135"/>
  <c r="D139"/>
  <c r="D143"/>
  <c r="D147"/>
  <c r="D151"/>
  <c r="D155"/>
  <c r="D159"/>
  <c r="D163"/>
  <c r="D167"/>
  <c r="D171"/>
  <c r="D175"/>
  <c r="D179"/>
  <c r="D183"/>
  <c r="D187"/>
  <c r="D191"/>
  <c r="D195"/>
  <c r="D199"/>
  <c r="D30"/>
  <c r="D34"/>
  <c r="D38"/>
  <c r="D42"/>
  <c r="D46"/>
  <c r="D50"/>
  <c r="D54"/>
  <c r="D58"/>
  <c r="D62"/>
  <c r="D66"/>
  <c r="D70"/>
  <c r="D74"/>
  <c r="D78"/>
  <c r="D82"/>
  <c r="D86"/>
  <c r="D90"/>
  <c r="D94"/>
  <c r="D98"/>
  <c r="D102"/>
  <c r="D106"/>
  <c r="D110"/>
  <c r="D114"/>
  <c r="D118"/>
  <c r="D122"/>
  <c r="D126"/>
  <c r="D130"/>
  <c r="D134"/>
  <c r="D138"/>
  <c r="D142"/>
  <c r="D146"/>
  <c r="D150"/>
  <c r="D154"/>
  <c r="D158"/>
  <c r="D162"/>
  <c r="D166"/>
  <c r="D170"/>
  <c r="D174"/>
  <c r="D178"/>
  <c r="D182"/>
  <c r="D186"/>
  <c r="D190"/>
  <c r="D194"/>
  <c r="D198"/>
  <c r="Q33"/>
  <c r="R35"/>
  <c r="L202"/>
  <c r="L134"/>
  <c r="R63"/>
  <c r="L194"/>
  <c r="R47"/>
  <c r="Q45"/>
  <c r="AE81"/>
  <c r="L200"/>
  <c r="R38"/>
  <c r="Q25"/>
  <c r="R16"/>
  <c r="L210"/>
  <c r="Z86"/>
  <c r="V86"/>
  <c r="R48"/>
  <c r="AB86"/>
  <c r="AC86"/>
  <c r="R46"/>
  <c r="R13"/>
  <c r="R17"/>
  <c r="Q50"/>
  <c r="AE86"/>
  <c r="W86"/>
  <c r="S86"/>
  <c r="P86"/>
  <c r="K193"/>
  <c r="K195" s="1"/>
  <c r="T86"/>
  <c r="X86"/>
  <c r="U86"/>
  <c r="Y86"/>
  <c r="Q18"/>
  <c r="R14"/>
  <c r="AA94" i="1"/>
  <c r="O86" i="6"/>
  <c r="R49"/>
  <c r="L201"/>
  <c r="R62"/>
  <c r="R34"/>
  <c r="AD81"/>
  <c r="N86"/>
  <c r="AC81"/>
  <c r="Q23"/>
  <c r="AB81"/>
  <c r="AA81"/>
  <c r="R86"/>
  <c r="Q86"/>
  <c r="M86"/>
  <c r="Z81"/>
  <c r="K185"/>
  <c r="X81"/>
  <c r="Y81"/>
  <c r="W81"/>
  <c r="V81"/>
  <c r="U81"/>
  <c r="R81"/>
  <c r="O81"/>
  <c r="I86"/>
  <c r="H86"/>
  <c r="G86"/>
  <c r="L46"/>
  <c r="L24"/>
  <c r="M81"/>
  <c r="J81"/>
  <c r="L86"/>
  <c r="K86"/>
  <c r="L27"/>
  <c r="L15"/>
  <c r="Q59"/>
  <c r="Q65" s="1"/>
  <c r="Q15"/>
  <c r="R24"/>
  <c r="L170"/>
  <c r="R61"/>
  <c r="L218"/>
  <c r="L125"/>
  <c r="K186"/>
  <c r="Q37"/>
  <c r="L187"/>
  <c r="L188" s="1"/>
  <c r="K208"/>
  <c r="K211" s="1"/>
  <c r="L148"/>
  <c r="S20"/>
  <c r="U20" s="1"/>
  <c r="L64"/>
  <c r="S24"/>
  <c r="U24" s="1"/>
  <c r="L47"/>
  <c r="S1"/>
  <c r="U1" s="1"/>
  <c r="L63"/>
  <c r="L26"/>
  <c r="S12"/>
  <c r="U12" s="1"/>
  <c r="L174"/>
  <c r="L158"/>
  <c r="S9"/>
  <c r="U9" s="1"/>
  <c r="L170" i="8"/>
  <c r="S71" s="1"/>
  <c r="K170"/>
  <c r="R89" s="1"/>
  <c r="P168"/>
  <c r="Q77" s="1"/>
  <c r="L144" i="6"/>
  <c r="P170" i="8"/>
  <c r="W92" s="1"/>
  <c r="M170"/>
  <c r="T83" s="1"/>
  <c r="AA131" i="6"/>
  <c r="N92" i="1" s="1"/>
  <c r="O170" i="8"/>
  <c r="V89" s="1"/>
  <c r="N170"/>
  <c r="U71" s="1"/>
  <c r="L192" i="6"/>
  <c r="L195" s="1"/>
  <c r="L209"/>
  <c r="L211" s="1"/>
  <c r="L49"/>
  <c r="L16"/>
  <c r="S16"/>
  <c r="U16" s="1"/>
  <c r="S4"/>
  <c r="U4" s="1"/>
  <c r="L157"/>
  <c r="L36"/>
  <c r="L17"/>
  <c r="L13"/>
  <c r="S17"/>
  <c r="U17" s="1"/>
  <c r="S8"/>
  <c r="U8" s="1"/>
  <c r="O168" i="8"/>
  <c r="P93" s="1"/>
  <c r="R64" i="6"/>
  <c r="R28"/>
  <c r="Q36"/>
  <c r="L216"/>
  <c r="T81"/>
  <c r="S81"/>
  <c r="L35"/>
  <c r="L23"/>
  <c r="S21"/>
  <c r="U21" s="1"/>
  <c r="S13"/>
  <c r="U13" s="1"/>
  <c r="S5"/>
  <c r="U5" s="1"/>
  <c r="K45"/>
  <c r="K51" s="1"/>
  <c r="N81"/>
  <c r="L81"/>
  <c r="I81"/>
  <c r="G120" i="8"/>
  <c r="F70" i="1" s="1"/>
  <c r="N168" i="8"/>
  <c r="O80" s="1"/>
  <c r="AK131" i="6"/>
  <c r="X92" i="1" s="1"/>
  <c r="V41" i="6"/>
  <c r="V52" s="1"/>
  <c r="Q26"/>
  <c r="L137"/>
  <c r="L217"/>
  <c r="L124"/>
  <c r="Q81"/>
  <c r="P81"/>
  <c r="K81"/>
  <c r="L50"/>
  <c r="L18"/>
  <c r="L14"/>
  <c r="AF131"/>
  <c r="S92" i="1" s="1"/>
  <c r="L59" i="6"/>
  <c r="L28"/>
  <c r="M168" i="8"/>
  <c r="N83" s="1"/>
  <c r="L136" i="6"/>
  <c r="K128"/>
  <c r="K129"/>
  <c r="K134"/>
  <c r="K135"/>
  <c r="K138"/>
  <c r="R60"/>
  <c r="L126"/>
  <c r="L161"/>
  <c r="L60"/>
  <c r="L48"/>
  <c r="L37"/>
  <c r="S22"/>
  <c r="U22" s="1"/>
  <c r="S18"/>
  <c r="U18" s="1"/>
  <c r="S14"/>
  <c r="U14" s="1"/>
  <c r="S10"/>
  <c r="U10" s="1"/>
  <c r="S6"/>
  <c r="U6" s="1"/>
  <c r="S2"/>
  <c r="U2" s="1"/>
  <c r="K25"/>
  <c r="K29" s="1"/>
  <c r="L139"/>
  <c r="W27"/>
  <c r="L61"/>
  <c r="L33"/>
  <c r="S23"/>
  <c r="U23" s="1"/>
  <c r="S19"/>
  <c r="U19" s="1"/>
  <c r="S15"/>
  <c r="U15" s="1"/>
  <c r="S11"/>
  <c r="U11" s="1"/>
  <c r="S7"/>
  <c r="U7" s="1"/>
  <c r="L168" i="8"/>
  <c r="X63"/>
  <c r="X64" s="1"/>
  <c r="AA38" i="6"/>
  <c r="J224"/>
  <c r="L127"/>
  <c r="L159"/>
  <c r="F69" i="1"/>
  <c r="G223" i="6"/>
  <c r="K145"/>
  <c r="L145"/>
  <c r="K149"/>
  <c r="L149"/>
  <c r="K146"/>
  <c r="L146"/>
  <c r="K156"/>
  <c r="L156"/>
  <c r="K147"/>
  <c r="L147"/>
  <c r="K125"/>
  <c r="H82"/>
  <c r="L71" i="8"/>
  <c r="L75"/>
  <c r="L79"/>
  <c r="L83"/>
  <c r="L87"/>
  <c r="L91"/>
  <c r="L72"/>
  <c r="L76"/>
  <c r="L80"/>
  <c r="L84"/>
  <c r="L88"/>
  <c r="L92"/>
  <c r="L73"/>
  <c r="L77"/>
  <c r="L81"/>
  <c r="L85"/>
  <c r="L89"/>
  <c r="L93"/>
  <c r="L70"/>
  <c r="L74"/>
  <c r="L78"/>
  <c r="L82"/>
  <c r="L86"/>
  <c r="L90"/>
  <c r="L173" i="6"/>
  <c r="L171"/>
  <c r="L160"/>
  <c r="L172"/>
  <c r="L175"/>
  <c r="K19"/>
  <c r="S77"/>
  <c r="L180" i="8"/>
  <c r="M180"/>
  <c r="N180"/>
  <c r="O180"/>
  <c r="P180"/>
  <c r="K182"/>
  <c r="L182"/>
  <c r="M182"/>
  <c r="N182"/>
  <c r="O182"/>
  <c r="P182"/>
  <c r="K180"/>
  <c r="K39" i="6"/>
  <c r="G81"/>
  <c r="G85" s="1"/>
  <c r="K62"/>
  <c r="K65" s="1"/>
  <c r="B119" i="8"/>
  <c r="B120" s="1"/>
  <c r="B121" s="1"/>
  <c r="B122" s="1"/>
  <c r="B123" s="1"/>
  <c r="B124" s="1"/>
  <c r="B125" s="1"/>
  <c r="B126" s="1"/>
  <c r="B127" s="1"/>
  <c r="B128" s="1"/>
  <c r="B129" s="1"/>
  <c r="B130" s="1"/>
  <c r="B131" s="1"/>
  <c r="B132" s="1"/>
  <c r="B133" s="1"/>
  <c r="B134" s="1"/>
  <c r="B135" s="1"/>
  <c r="B136" s="1"/>
  <c r="B137" s="1"/>
  <c r="B138" s="1"/>
  <c r="B139" s="1"/>
  <c r="B140" s="1"/>
  <c r="B141" s="1"/>
  <c r="B142" s="1"/>
  <c r="B143" s="1"/>
  <c r="I247" i="6"/>
  <c r="H81"/>
  <c r="L38"/>
  <c r="L34"/>
  <c r="K188" l="1"/>
  <c r="L219"/>
  <c r="L203"/>
  <c r="V75" i="8"/>
  <c r="AB94" i="1"/>
  <c r="Q19" i="6"/>
  <c r="R39"/>
  <c r="R51"/>
  <c r="R65"/>
  <c r="R19"/>
  <c r="R29"/>
  <c r="Q29"/>
  <c r="Q51"/>
  <c r="Q39"/>
  <c r="V88" i="8"/>
  <c r="G88" i="6"/>
  <c r="E85" i="1" s="1"/>
  <c r="R83" i="8"/>
  <c r="R92"/>
  <c r="R71"/>
  <c r="T82"/>
  <c r="R80"/>
  <c r="O94" i="1"/>
  <c r="G121" i="8"/>
  <c r="G122" s="1"/>
  <c r="R76"/>
  <c r="R87"/>
  <c r="W94" i="1"/>
  <c r="T93" i="8"/>
  <c r="T75"/>
  <c r="I94" i="1"/>
  <c r="U80" i="8"/>
  <c r="J94" i="1"/>
  <c r="F94"/>
  <c r="T94"/>
  <c r="N94"/>
  <c r="M94"/>
  <c r="H94"/>
  <c r="L94"/>
  <c r="Q94"/>
  <c r="K94"/>
  <c r="P94"/>
  <c r="W78" i="8"/>
  <c r="E94" i="1"/>
  <c r="T90" i="8"/>
  <c r="Q76"/>
  <c r="N78"/>
  <c r="V84"/>
  <c r="V72"/>
  <c r="V91"/>
  <c r="S80"/>
  <c r="S83"/>
  <c r="W87"/>
  <c r="V79"/>
  <c r="R74"/>
  <c r="O75"/>
  <c r="R84"/>
  <c r="R75"/>
  <c r="R91"/>
  <c r="S81"/>
  <c r="T73"/>
  <c r="R78"/>
  <c r="R72"/>
  <c r="R88"/>
  <c r="O90"/>
  <c r="R79"/>
  <c r="S82"/>
  <c r="W81"/>
  <c r="T78"/>
  <c r="R81"/>
  <c r="T77"/>
  <c r="V80"/>
  <c r="V71"/>
  <c r="V87"/>
  <c r="V74"/>
  <c r="V76"/>
  <c r="V92"/>
  <c r="V83"/>
  <c r="T89"/>
  <c r="N84"/>
  <c r="T74"/>
  <c r="S93"/>
  <c r="T86"/>
  <c r="T72"/>
  <c r="V86"/>
  <c r="R82"/>
  <c r="P74"/>
  <c r="T81"/>
  <c r="T92"/>
  <c r="U83"/>
  <c r="T85"/>
  <c r="R90"/>
  <c r="O83"/>
  <c r="O91"/>
  <c r="O74"/>
  <c r="O87"/>
  <c r="T71"/>
  <c r="T84"/>
  <c r="R77"/>
  <c r="R94" i="1"/>
  <c r="Q88" i="8"/>
  <c r="Q87"/>
  <c r="Q84"/>
  <c r="Q80"/>
  <c r="P82"/>
  <c r="O79"/>
  <c r="O78"/>
  <c r="P78"/>
  <c r="P79"/>
  <c r="Q73"/>
  <c r="O76"/>
  <c r="V81"/>
  <c r="P90"/>
  <c r="P89"/>
  <c r="P77"/>
  <c r="U93"/>
  <c r="Q75"/>
  <c r="Q78"/>
  <c r="P86"/>
  <c r="P73"/>
  <c r="V73"/>
  <c r="Q93"/>
  <c r="V78"/>
  <c r="Q70"/>
  <c r="V85"/>
  <c r="Q83"/>
  <c r="Q71"/>
  <c r="Q89"/>
  <c r="Q82"/>
  <c r="V94" i="1"/>
  <c r="R73" i="8"/>
  <c r="T76"/>
  <c r="X94" i="1"/>
  <c r="Q92" i="8"/>
  <c r="U94" i="1"/>
  <c r="S79" i="8"/>
  <c r="W83"/>
  <c r="S78"/>
  <c r="U76"/>
  <c r="U92"/>
  <c r="W74"/>
  <c r="W90"/>
  <c r="S73"/>
  <c r="W73"/>
  <c r="S72"/>
  <c r="U78"/>
  <c r="W88"/>
  <c r="S77"/>
  <c r="U87"/>
  <c r="U91"/>
  <c r="U90"/>
  <c r="S75"/>
  <c r="S91"/>
  <c r="W79"/>
  <c r="S74"/>
  <c r="S90"/>
  <c r="U88"/>
  <c r="W70"/>
  <c r="W86"/>
  <c r="L29" i="6"/>
  <c r="U73" i="8"/>
  <c r="W80"/>
  <c r="S92"/>
  <c r="U81"/>
  <c r="U79"/>
  <c r="U85"/>
  <c r="W93"/>
  <c r="G94" i="1"/>
  <c r="Z94"/>
  <c r="AC94"/>
  <c r="S94"/>
  <c r="Y94"/>
  <c r="S87" i="8"/>
  <c r="W75"/>
  <c r="W91"/>
  <c r="O82"/>
  <c r="S70"/>
  <c r="S86"/>
  <c r="U84"/>
  <c r="W82"/>
  <c r="S89"/>
  <c r="W89"/>
  <c r="S88"/>
  <c r="W72"/>
  <c r="S76"/>
  <c r="U74"/>
  <c r="U70"/>
  <c r="S85"/>
  <c r="U75"/>
  <c r="W77"/>
  <c r="S84"/>
  <c r="N76"/>
  <c r="G225" i="6"/>
  <c r="G226" s="1"/>
  <c r="G227" s="1"/>
  <c r="N92" i="8"/>
  <c r="O70"/>
  <c r="O86"/>
  <c r="V90"/>
  <c r="V77"/>
  <c r="U82"/>
  <c r="W76"/>
  <c r="T91"/>
  <c r="L51" i="6"/>
  <c r="P83" i="8"/>
  <c r="O81"/>
  <c r="O73"/>
  <c r="O84"/>
  <c r="O89"/>
  <c r="O72"/>
  <c r="V53" i="6"/>
  <c r="V55" s="1"/>
  <c r="P88" i="8"/>
  <c r="O88"/>
  <c r="U27" i="6"/>
  <c r="F25" i="1" s="1"/>
  <c r="P71" i="8"/>
  <c r="P84"/>
  <c r="P72"/>
  <c r="U72"/>
  <c r="U89"/>
  <c r="U86"/>
  <c r="U77"/>
  <c r="W71"/>
  <c r="W84"/>
  <c r="W85"/>
  <c r="T70"/>
  <c r="T79"/>
  <c r="T88"/>
  <c r="T87"/>
  <c r="T80"/>
  <c r="R70"/>
  <c r="R86"/>
  <c r="R85"/>
  <c r="R93"/>
  <c r="Q72"/>
  <c r="Q79"/>
  <c r="Q90"/>
  <c r="Q74"/>
  <c r="Q86"/>
  <c r="Q85"/>
  <c r="Q81"/>
  <c r="Q91"/>
  <c r="V70"/>
  <c r="V93"/>
  <c r="V82"/>
  <c r="P70"/>
  <c r="P76"/>
  <c r="P87"/>
  <c r="P75"/>
  <c r="P85"/>
  <c r="P81"/>
  <c r="P92"/>
  <c r="P80"/>
  <c r="P91"/>
  <c r="L65" i="6"/>
  <c r="O71" i="8"/>
  <c r="O85"/>
  <c r="O77"/>
  <c r="O93"/>
  <c r="O92"/>
  <c r="L19" i="6"/>
  <c r="N70" i="8"/>
  <c r="N77"/>
  <c r="N86"/>
  <c r="N73"/>
  <c r="N85"/>
  <c r="N93"/>
  <c r="N82"/>
  <c r="N90"/>
  <c r="N81"/>
  <c r="N89"/>
  <c r="N72"/>
  <c r="N88"/>
  <c r="N79"/>
  <c r="N75"/>
  <c r="N91"/>
  <c r="N74"/>
  <c r="N80"/>
  <c r="N71"/>
  <c r="N87"/>
  <c r="M71"/>
  <c r="M75"/>
  <c r="M79"/>
  <c r="M83"/>
  <c r="M87"/>
  <c r="M91"/>
  <c r="M70"/>
  <c r="M74"/>
  <c r="M78"/>
  <c r="M82"/>
  <c r="M86"/>
  <c r="M90"/>
  <c r="M73"/>
  <c r="M77"/>
  <c r="M81"/>
  <c r="M85"/>
  <c r="M89"/>
  <c r="M93"/>
  <c r="N164"/>
  <c r="M72"/>
  <c r="M76"/>
  <c r="M80"/>
  <c r="M84"/>
  <c r="M88"/>
  <c r="M92"/>
  <c r="L39" i="6"/>
  <c r="AB74" i="8"/>
  <c r="AB78"/>
  <c r="AB82"/>
  <c r="AB86"/>
  <c r="AB90"/>
  <c r="AB71"/>
  <c r="AB75"/>
  <c r="AB79"/>
  <c r="AB83"/>
  <c r="AB87"/>
  <c r="AB91"/>
  <c r="AB70"/>
  <c r="AB72"/>
  <c r="AB76"/>
  <c r="AB80"/>
  <c r="AB84"/>
  <c r="AB88"/>
  <c r="AB92"/>
  <c r="AB73"/>
  <c r="AB77"/>
  <c r="AB81"/>
  <c r="AB85"/>
  <c r="AB89"/>
  <c r="AB93"/>
  <c r="N176"/>
  <c r="AK74"/>
  <c r="AK78"/>
  <c r="AK82"/>
  <c r="AK86"/>
  <c r="AK90"/>
  <c r="AK70"/>
  <c r="AK71"/>
  <c r="AK75"/>
  <c r="AK79"/>
  <c r="AK83"/>
  <c r="AK87"/>
  <c r="AK91"/>
  <c r="AK72"/>
  <c r="AK76"/>
  <c r="AK80"/>
  <c r="AK84"/>
  <c r="AK88"/>
  <c r="AK92"/>
  <c r="AK73"/>
  <c r="AK77"/>
  <c r="AK81"/>
  <c r="AK85"/>
  <c r="AK89"/>
  <c r="AK93"/>
  <c r="AL74"/>
  <c r="AL78"/>
  <c r="AL82"/>
  <c r="AL86"/>
  <c r="AL90"/>
  <c r="AL70"/>
  <c r="AL71"/>
  <c r="AL75"/>
  <c r="AL79"/>
  <c r="AL83"/>
  <c r="AL87"/>
  <c r="AL91"/>
  <c r="AL72"/>
  <c r="AL76"/>
  <c r="AL80"/>
  <c r="AL84"/>
  <c r="AL88"/>
  <c r="AL92"/>
  <c r="AL73"/>
  <c r="AL77"/>
  <c r="AL81"/>
  <c r="AL85"/>
  <c r="AL89"/>
  <c r="AL93"/>
  <c r="AH74"/>
  <c r="AH78"/>
  <c r="AH82"/>
  <c r="AH86"/>
  <c r="AH90"/>
  <c r="AH70"/>
  <c r="AH71"/>
  <c r="AH75"/>
  <c r="AH79"/>
  <c r="AH83"/>
  <c r="AH87"/>
  <c r="AH91"/>
  <c r="AH72"/>
  <c r="AH76"/>
  <c r="AH80"/>
  <c r="AH84"/>
  <c r="AH88"/>
  <c r="AH92"/>
  <c r="AH73"/>
  <c r="AH77"/>
  <c r="AH81"/>
  <c r="AH85"/>
  <c r="AH89"/>
  <c r="AH93"/>
  <c r="AD74"/>
  <c r="AD78"/>
  <c r="AD82"/>
  <c r="AD86"/>
  <c r="AD90"/>
  <c r="AD70"/>
  <c r="AD71"/>
  <c r="AD75"/>
  <c r="AD79"/>
  <c r="AD83"/>
  <c r="AD87"/>
  <c r="AD91"/>
  <c r="AD72"/>
  <c r="AD76"/>
  <c r="AD80"/>
  <c r="AD84"/>
  <c r="AD88"/>
  <c r="AD92"/>
  <c r="AD73"/>
  <c r="AD77"/>
  <c r="AD81"/>
  <c r="AD85"/>
  <c r="AD89"/>
  <c r="AD93"/>
  <c r="J247" i="6"/>
  <c r="AM74" i="8"/>
  <c r="AM78"/>
  <c r="AM82"/>
  <c r="AM86"/>
  <c r="AM90"/>
  <c r="AM70"/>
  <c r="AM71"/>
  <c r="AM75"/>
  <c r="AM79"/>
  <c r="AM83"/>
  <c r="AM87"/>
  <c r="AM91"/>
  <c r="AM72"/>
  <c r="AM76"/>
  <c r="AM80"/>
  <c r="AM84"/>
  <c r="AM88"/>
  <c r="AM92"/>
  <c r="AM73"/>
  <c r="AM77"/>
  <c r="AM81"/>
  <c r="AM85"/>
  <c r="AM89"/>
  <c r="AM93"/>
  <c r="AI74"/>
  <c r="AI78"/>
  <c r="AI82"/>
  <c r="AI86"/>
  <c r="AI90"/>
  <c r="AI70"/>
  <c r="AI71"/>
  <c r="AI75"/>
  <c r="AI79"/>
  <c r="AI83"/>
  <c r="AI87"/>
  <c r="AI91"/>
  <c r="AI72"/>
  <c r="AI76"/>
  <c r="AI80"/>
  <c r="AI84"/>
  <c r="AI88"/>
  <c r="AI92"/>
  <c r="AI73"/>
  <c r="AI77"/>
  <c r="AI81"/>
  <c r="AI85"/>
  <c r="AI89"/>
  <c r="AI93"/>
  <c r="AE74"/>
  <c r="AE78"/>
  <c r="AE82"/>
  <c r="AE86"/>
  <c r="AE90"/>
  <c r="AE70"/>
  <c r="AE71"/>
  <c r="AE75"/>
  <c r="AE79"/>
  <c r="AE83"/>
  <c r="AE87"/>
  <c r="AE91"/>
  <c r="AE72"/>
  <c r="AE76"/>
  <c r="AE80"/>
  <c r="AE84"/>
  <c r="AE88"/>
  <c r="AE92"/>
  <c r="AE73"/>
  <c r="AE77"/>
  <c r="AE81"/>
  <c r="AE85"/>
  <c r="AE89"/>
  <c r="AE93"/>
  <c r="K224" i="6"/>
  <c r="AF74" i="8"/>
  <c r="AF78"/>
  <c r="AF82"/>
  <c r="AF86"/>
  <c r="AF90"/>
  <c r="AF70"/>
  <c r="AF71"/>
  <c r="AF75"/>
  <c r="AF79"/>
  <c r="AF83"/>
  <c r="AF87"/>
  <c r="AF91"/>
  <c r="AF72"/>
  <c r="AF76"/>
  <c r="AF80"/>
  <c r="AF84"/>
  <c r="AF88"/>
  <c r="AF92"/>
  <c r="AF73"/>
  <c r="AF77"/>
  <c r="AF81"/>
  <c r="AF85"/>
  <c r="AF89"/>
  <c r="AF93"/>
  <c r="AG74"/>
  <c r="AG78"/>
  <c r="AG82"/>
  <c r="AG86"/>
  <c r="AG90"/>
  <c r="AG70"/>
  <c r="AG71"/>
  <c r="AG75"/>
  <c r="AG79"/>
  <c r="AG83"/>
  <c r="AG87"/>
  <c r="AG91"/>
  <c r="AG72"/>
  <c r="AG76"/>
  <c r="AG80"/>
  <c r="AG84"/>
  <c r="AG88"/>
  <c r="AG92"/>
  <c r="AG73"/>
  <c r="AG77"/>
  <c r="AG81"/>
  <c r="AG85"/>
  <c r="AG89"/>
  <c r="AG93"/>
  <c r="AC74"/>
  <c r="AC78"/>
  <c r="AC82"/>
  <c r="AC86"/>
  <c r="AC90"/>
  <c r="AC70"/>
  <c r="AC71"/>
  <c r="AC75"/>
  <c r="AC79"/>
  <c r="AC83"/>
  <c r="AC87"/>
  <c r="AC91"/>
  <c r="AC72"/>
  <c r="AC76"/>
  <c r="AC80"/>
  <c r="AC84"/>
  <c r="AC88"/>
  <c r="AC92"/>
  <c r="AC73"/>
  <c r="AC77"/>
  <c r="AC81"/>
  <c r="AC85"/>
  <c r="AC89"/>
  <c r="AC93"/>
  <c r="L94"/>
  <c r="L95" s="1"/>
  <c r="I82" i="6"/>
  <c r="H85"/>
  <c r="H88" s="1"/>
  <c r="F85" i="1" s="1"/>
  <c r="H223" i="6"/>
  <c r="G69" i="1"/>
  <c r="AJ74" i="8"/>
  <c r="AJ78"/>
  <c r="AJ82"/>
  <c r="AJ86"/>
  <c r="AJ90"/>
  <c r="AJ70"/>
  <c r="AJ71"/>
  <c r="AJ75"/>
  <c r="AJ79"/>
  <c r="AJ83"/>
  <c r="AJ87"/>
  <c r="AJ91"/>
  <c r="AJ72"/>
  <c r="AJ76"/>
  <c r="AJ80"/>
  <c r="AJ84"/>
  <c r="AJ88"/>
  <c r="AJ92"/>
  <c r="AJ73"/>
  <c r="AJ77"/>
  <c r="AJ81"/>
  <c r="AJ85"/>
  <c r="AJ89"/>
  <c r="AJ93"/>
  <c r="I42" i="1"/>
  <c r="I43" s="1"/>
  <c r="AC41" i="6" s="1"/>
  <c r="E95" i="1"/>
  <c r="E25" l="1"/>
  <c r="D25" s="1"/>
  <c r="G70"/>
  <c r="G228" i="6"/>
  <c r="F26" i="1"/>
  <c r="S94" i="8"/>
  <c r="S95" s="1"/>
  <c r="O94"/>
  <c r="O95" s="1"/>
  <c r="R94"/>
  <c r="R95" s="1"/>
  <c r="W94"/>
  <c r="W95" s="1"/>
  <c r="U94"/>
  <c r="U95" s="1"/>
  <c r="E26" i="1"/>
  <c r="V94" i="8"/>
  <c r="V95" s="1"/>
  <c r="T94"/>
  <c r="T95" s="1"/>
  <c r="Q94"/>
  <c r="Q95" s="1"/>
  <c r="P94"/>
  <c r="P95" s="1"/>
  <c r="N94"/>
  <c r="N95" s="1"/>
  <c r="M94"/>
  <c r="M95" s="1"/>
  <c r="T125"/>
  <c r="T158" s="1"/>
  <c r="T123"/>
  <c r="T156" s="1"/>
  <c r="AC40" i="6"/>
  <c r="C47" i="1" s="1"/>
  <c r="T117" i="8"/>
  <c r="T150" s="1"/>
  <c r="T124"/>
  <c r="T157" s="1"/>
  <c r="T107"/>
  <c r="T141" s="1"/>
  <c r="T114"/>
  <c r="T148" s="1"/>
  <c r="AJ95"/>
  <c r="T101"/>
  <c r="AJ101" s="1"/>
  <c r="AJ94"/>
  <c r="T109"/>
  <c r="T143" s="1"/>
  <c r="T121"/>
  <c r="T154" s="1"/>
  <c r="T104"/>
  <c r="T138" s="1"/>
  <c r="T111"/>
  <c r="T145" s="1"/>
  <c r="T119"/>
  <c r="T152" s="1"/>
  <c r="T102"/>
  <c r="T136" s="1"/>
  <c r="T113"/>
  <c r="T147" s="1"/>
  <c r="M125"/>
  <c r="M158" s="1"/>
  <c r="M108"/>
  <c r="M142" s="1"/>
  <c r="M115"/>
  <c r="M149" s="1"/>
  <c r="M123"/>
  <c r="M156" s="1"/>
  <c r="M106"/>
  <c r="M140" s="1"/>
  <c r="M118"/>
  <c r="M151" s="1"/>
  <c r="Q125"/>
  <c r="Q158" s="1"/>
  <c r="Q108"/>
  <c r="Q142" s="1"/>
  <c r="Q115"/>
  <c r="Q149" s="1"/>
  <c r="Q123"/>
  <c r="Q156" s="1"/>
  <c r="Q106"/>
  <c r="Q140" s="1"/>
  <c r="Q118"/>
  <c r="Q151" s="1"/>
  <c r="G123"/>
  <c r="H70" i="1"/>
  <c r="P117" i="8"/>
  <c r="P150" s="1"/>
  <c r="P124"/>
  <c r="P157" s="1"/>
  <c r="P107"/>
  <c r="P141" s="1"/>
  <c r="P114"/>
  <c r="P148" s="1"/>
  <c r="AF95"/>
  <c r="P101"/>
  <c r="AF101" s="1"/>
  <c r="AF94"/>
  <c r="P109"/>
  <c r="P143" s="1"/>
  <c r="O117"/>
  <c r="O150" s="1"/>
  <c r="O124"/>
  <c r="O157" s="1"/>
  <c r="O107"/>
  <c r="O141" s="1"/>
  <c r="O114"/>
  <c r="O148" s="1"/>
  <c r="AE95"/>
  <c r="O101"/>
  <c r="AE101" s="1"/>
  <c r="AE94"/>
  <c r="O109"/>
  <c r="O143" s="1"/>
  <c r="S117"/>
  <c r="S150" s="1"/>
  <c r="S124"/>
  <c r="S157" s="1"/>
  <c r="S107"/>
  <c r="S141" s="1"/>
  <c r="S114"/>
  <c r="S148" s="1"/>
  <c r="AI95"/>
  <c r="S101"/>
  <c r="AI101" s="1"/>
  <c r="AI94"/>
  <c r="S109"/>
  <c r="S143" s="1"/>
  <c r="W117"/>
  <c r="W150" s="1"/>
  <c r="W124"/>
  <c r="W157" s="1"/>
  <c r="W107"/>
  <c r="W141" s="1"/>
  <c r="W114"/>
  <c r="W148" s="1"/>
  <c r="AM95"/>
  <c r="W101"/>
  <c r="AM101" s="1"/>
  <c r="AM94"/>
  <c r="W109"/>
  <c r="W143" s="1"/>
  <c r="N125"/>
  <c r="N158" s="1"/>
  <c r="N108"/>
  <c r="N142" s="1"/>
  <c r="N115"/>
  <c r="N149" s="1"/>
  <c r="N123"/>
  <c r="N156" s="1"/>
  <c r="N106"/>
  <c r="N140" s="1"/>
  <c r="N118"/>
  <c r="N151" s="1"/>
  <c r="R125"/>
  <c r="R158" s="1"/>
  <c r="R108"/>
  <c r="R142" s="1"/>
  <c r="R115"/>
  <c r="R149" s="1"/>
  <c r="R123"/>
  <c r="R156" s="1"/>
  <c r="R106"/>
  <c r="R140" s="1"/>
  <c r="R118"/>
  <c r="R151" s="1"/>
  <c r="V125"/>
  <c r="V158" s="1"/>
  <c r="V108"/>
  <c r="V142" s="1"/>
  <c r="V115"/>
  <c r="V149" s="1"/>
  <c r="V123"/>
  <c r="V156" s="1"/>
  <c r="V106"/>
  <c r="V140" s="1"/>
  <c r="V118"/>
  <c r="V151" s="1"/>
  <c r="U121"/>
  <c r="U154" s="1"/>
  <c r="U104"/>
  <c r="U138" s="1"/>
  <c r="U111"/>
  <c r="U145" s="1"/>
  <c r="U119"/>
  <c r="U152" s="1"/>
  <c r="U102"/>
  <c r="U136" s="1"/>
  <c r="U113"/>
  <c r="U147" s="1"/>
  <c r="L125"/>
  <c r="L158" s="1"/>
  <c r="L108"/>
  <c r="L142" s="1"/>
  <c r="L115"/>
  <c r="L149" s="1"/>
  <c r="AB95"/>
  <c r="L101"/>
  <c r="AB101" s="1"/>
  <c r="AB94"/>
  <c r="L110"/>
  <c r="L144" s="1"/>
  <c r="L118"/>
  <c r="L151" s="1"/>
  <c r="T108"/>
  <c r="T142" s="1"/>
  <c r="T118"/>
  <c r="T151" s="1"/>
  <c r="H225" i="6"/>
  <c r="H226" s="1"/>
  <c r="H227" s="1"/>
  <c r="M112" i="8"/>
  <c r="M146" s="1"/>
  <c r="M120"/>
  <c r="M153" s="1"/>
  <c r="M103"/>
  <c r="M137" s="1"/>
  <c r="M110"/>
  <c r="M144" s="1"/>
  <c r="M122"/>
  <c r="M155" s="1"/>
  <c r="M105"/>
  <c r="M139" s="1"/>
  <c r="Q112"/>
  <c r="Q146" s="1"/>
  <c r="Q120"/>
  <c r="Q153" s="1"/>
  <c r="Q103"/>
  <c r="Q137" s="1"/>
  <c r="Q110"/>
  <c r="Q144" s="1"/>
  <c r="Q122"/>
  <c r="Q155" s="1"/>
  <c r="Q105"/>
  <c r="Q139" s="1"/>
  <c r="P121"/>
  <c r="P154" s="1"/>
  <c r="P104"/>
  <c r="P138" s="1"/>
  <c r="P111"/>
  <c r="P145" s="1"/>
  <c r="P119"/>
  <c r="P152" s="1"/>
  <c r="P102"/>
  <c r="P136" s="1"/>
  <c r="P113"/>
  <c r="P147" s="1"/>
  <c r="O121"/>
  <c r="O154" s="1"/>
  <c r="O104"/>
  <c r="O138" s="1"/>
  <c r="O111"/>
  <c r="O145" s="1"/>
  <c r="O119"/>
  <c r="O152" s="1"/>
  <c r="O102"/>
  <c r="O136" s="1"/>
  <c r="O113"/>
  <c r="O147" s="1"/>
  <c r="S121"/>
  <c r="S154" s="1"/>
  <c r="S104"/>
  <c r="S138" s="1"/>
  <c r="S111"/>
  <c r="S145" s="1"/>
  <c r="S119"/>
  <c r="S152" s="1"/>
  <c r="S102"/>
  <c r="S136" s="1"/>
  <c r="S113"/>
  <c r="S147" s="1"/>
  <c r="W121"/>
  <c r="W154" s="1"/>
  <c r="W104"/>
  <c r="W138" s="1"/>
  <c r="W111"/>
  <c r="W145" s="1"/>
  <c r="W119"/>
  <c r="W152" s="1"/>
  <c r="W102"/>
  <c r="W136" s="1"/>
  <c r="W113"/>
  <c r="W147" s="1"/>
  <c r="K247" i="6"/>
  <c r="N112" i="8"/>
  <c r="N146" s="1"/>
  <c r="N120"/>
  <c r="N153" s="1"/>
  <c r="N103"/>
  <c r="N137" s="1"/>
  <c r="N110"/>
  <c r="N144" s="1"/>
  <c r="N122"/>
  <c r="N155" s="1"/>
  <c r="N105"/>
  <c r="N139" s="1"/>
  <c r="R112"/>
  <c r="R146" s="1"/>
  <c r="R120"/>
  <c r="R153" s="1"/>
  <c r="R103"/>
  <c r="R137" s="1"/>
  <c r="R110"/>
  <c r="R144" s="1"/>
  <c r="R122"/>
  <c r="R155" s="1"/>
  <c r="R105"/>
  <c r="R139" s="1"/>
  <c r="V112"/>
  <c r="V146" s="1"/>
  <c r="V120"/>
  <c r="V153" s="1"/>
  <c r="V103"/>
  <c r="V137" s="1"/>
  <c r="V110"/>
  <c r="V144" s="1"/>
  <c r="V122"/>
  <c r="V155" s="1"/>
  <c r="V105"/>
  <c r="V139" s="1"/>
  <c r="U125"/>
  <c r="U158" s="1"/>
  <c r="U108"/>
  <c r="U142" s="1"/>
  <c r="U115"/>
  <c r="U149" s="1"/>
  <c r="U123"/>
  <c r="U156" s="1"/>
  <c r="U106"/>
  <c r="U140" s="1"/>
  <c r="U118"/>
  <c r="U151" s="1"/>
  <c r="L112"/>
  <c r="L146" s="1"/>
  <c r="L120"/>
  <c r="L153" s="1"/>
  <c r="L103"/>
  <c r="L137" s="1"/>
  <c r="L114"/>
  <c r="L148" s="1"/>
  <c r="L122"/>
  <c r="L155" s="1"/>
  <c r="L105"/>
  <c r="L139" s="1"/>
  <c r="T115"/>
  <c r="T149" s="1"/>
  <c r="T106"/>
  <c r="T140" s="1"/>
  <c r="T112"/>
  <c r="T146" s="1"/>
  <c r="T120"/>
  <c r="T153" s="1"/>
  <c r="T103"/>
  <c r="T137" s="1"/>
  <c r="T110"/>
  <c r="T144" s="1"/>
  <c r="T122"/>
  <c r="T155" s="1"/>
  <c r="T105"/>
  <c r="T139" s="1"/>
  <c r="H69" i="1"/>
  <c r="I223" i="6"/>
  <c r="M117" i="8"/>
  <c r="M150" s="1"/>
  <c r="M124"/>
  <c r="M157" s="1"/>
  <c r="M107"/>
  <c r="M141" s="1"/>
  <c r="M114"/>
  <c r="M148" s="1"/>
  <c r="M101"/>
  <c r="AC101" s="1"/>
  <c r="AC95"/>
  <c r="AC94"/>
  <c r="M109"/>
  <c r="M143" s="1"/>
  <c r="Q117"/>
  <c r="Q150" s="1"/>
  <c r="Q124"/>
  <c r="Q157" s="1"/>
  <c r="Q107"/>
  <c r="Q141" s="1"/>
  <c r="Q114"/>
  <c r="Q148" s="1"/>
  <c r="Q101"/>
  <c r="AG101" s="1"/>
  <c r="AG95"/>
  <c r="AG94"/>
  <c r="Q109"/>
  <c r="Q143" s="1"/>
  <c r="P125"/>
  <c r="P158" s="1"/>
  <c r="P108"/>
  <c r="P142" s="1"/>
  <c r="P115"/>
  <c r="P149" s="1"/>
  <c r="P123"/>
  <c r="P156" s="1"/>
  <c r="P106"/>
  <c r="P140" s="1"/>
  <c r="P118"/>
  <c r="P151" s="1"/>
  <c r="O125"/>
  <c r="O158" s="1"/>
  <c r="O108"/>
  <c r="O142" s="1"/>
  <c r="O115"/>
  <c r="O149" s="1"/>
  <c r="O123"/>
  <c r="O156" s="1"/>
  <c r="O106"/>
  <c r="O140" s="1"/>
  <c r="O118"/>
  <c r="O151" s="1"/>
  <c r="S125"/>
  <c r="S158" s="1"/>
  <c r="S108"/>
  <c r="S142" s="1"/>
  <c r="S115"/>
  <c r="S149" s="1"/>
  <c r="S123"/>
  <c r="S156" s="1"/>
  <c r="S106"/>
  <c r="S140" s="1"/>
  <c r="S118"/>
  <c r="S151" s="1"/>
  <c r="W125"/>
  <c r="W158" s="1"/>
  <c r="W108"/>
  <c r="W142" s="1"/>
  <c r="W115"/>
  <c r="W149" s="1"/>
  <c r="W123"/>
  <c r="W156" s="1"/>
  <c r="W106"/>
  <c r="W140" s="1"/>
  <c r="W118"/>
  <c r="W151" s="1"/>
  <c r="N117"/>
  <c r="N150" s="1"/>
  <c r="N124"/>
  <c r="N157" s="1"/>
  <c r="N107"/>
  <c r="N141" s="1"/>
  <c r="N114"/>
  <c r="N148" s="1"/>
  <c r="N101"/>
  <c r="AD101" s="1"/>
  <c r="AD95"/>
  <c r="AD94"/>
  <c r="N109"/>
  <c r="N143" s="1"/>
  <c r="R117"/>
  <c r="R150" s="1"/>
  <c r="R124"/>
  <c r="R157" s="1"/>
  <c r="R107"/>
  <c r="R141" s="1"/>
  <c r="R114"/>
  <c r="R148" s="1"/>
  <c r="R101"/>
  <c r="AH101" s="1"/>
  <c r="AH95"/>
  <c r="AH94"/>
  <c r="R109"/>
  <c r="R143" s="1"/>
  <c r="V117"/>
  <c r="V150" s="1"/>
  <c r="V124"/>
  <c r="V157" s="1"/>
  <c r="V107"/>
  <c r="V141" s="1"/>
  <c r="V114"/>
  <c r="V148" s="1"/>
  <c r="V101"/>
  <c r="AL101" s="1"/>
  <c r="AL95"/>
  <c r="AL94"/>
  <c r="V109"/>
  <c r="V143" s="1"/>
  <c r="U112"/>
  <c r="U146" s="1"/>
  <c r="U120"/>
  <c r="U153" s="1"/>
  <c r="U103"/>
  <c r="U137" s="1"/>
  <c r="U110"/>
  <c r="U144" s="1"/>
  <c r="U122"/>
  <c r="U155" s="1"/>
  <c r="U105"/>
  <c r="U139" s="1"/>
  <c r="L117"/>
  <c r="L150" s="1"/>
  <c r="L124"/>
  <c r="L157" s="1"/>
  <c r="L107"/>
  <c r="L141" s="1"/>
  <c r="L119"/>
  <c r="L152" s="1"/>
  <c r="L102"/>
  <c r="L136" s="1"/>
  <c r="L109"/>
  <c r="L143" s="1"/>
  <c r="I85" i="6"/>
  <c r="I88" s="1"/>
  <c r="G85" i="1" s="1"/>
  <c r="J82" i="6"/>
  <c r="M121" i="8"/>
  <c r="M154" s="1"/>
  <c r="M104"/>
  <c r="M138" s="1"/>
  <c r="M111"/>
  <c r="M145" s="1"/>
  <c r="M119"/>
  <c r="M152" s="1"/>
  <c r="M102"/>
  <c r="M136" s="1"/>
  <c r="M113"/>
  <c r="M147" s="1"/>
  <c r="Q121"/>
  <c r="Q154" s="1"/>
  <c r="Q104"/>
  <c r="Q138" s="1"/>
  <c r="Q111"/>
  <c r="Q145" s="1"/>
  <c r="Q119"/>
  <c r="Q152" s="1"/>
  <c r="Q102"/>
  <c r="Q136" s="1"/>
  <c r="Q113"/>
  <c r="Q147" s="1"/>
  <c r="P112"/>
  <c r="P146" s="1"/>
  <c r="P120"/>
  <c r="P153" s="1"/>
  <c r="P103"/>
  <c r="P137" s="1"/>
  <c r="P110"/>
  <c r="P144" s="1"/>
  <c r="P122"/>
  <c r="P155" s="1"/>
  <c r="P105"/>
  <c r="P139" s="1"/>
  <c r="L224" i="6"/>
  <c r="O112" i="8"/>
  <c r="O146" s="1"/>
  <c r="O120"/>
  <c r="O153" s="1"/>
  <c r="O103"/>
  <c r="O137" s="1"/>
  <c r="O110"/>
  <c r="O144" s="1"/>
  <c r="O122"/>
  <c r="O155" s="1"/>
  <c r="O105"/>
  <c r="O139" s="1"/>
  <c r="S112"/>
  <c r="S146" s="1"/>
  <c r="S120"/>
  <c r="S153" s="1"/>
  <c r="S103"/>
  <c r="S137" s="1"/>
  <c r="S110"/>
  <c r="S144" s="1"/>
  <c r="S122"/>
  <c r="S155" s="1"/>
  <c r="S105"/>
  <c r="S139" s="1"/>
  <c r="W112"/>
  <c r="W146" s="1"/>
  <c r="W120"/>
  <c r="W153" s="1"/>
  <c r="W103"/>
  <c r="W137" s="1"/>
  <c r="W110"/>
  <c r="W144" s="1"/>
  <c r="W122"/>
  <c r="W155" s="1"/>
  <c r="W105"/>
  <c r="W139" s="1"/>
  <c r="N121"/>
  <c r="N154" s="1"/>
  <c r="N104"/>
  <c r="N138" s="1"/>
  <c r="N111"/>
  <c r="N145" s="1"/>
  <c r="N119"/>
  <c r="N152" s="1"/>
  <c r="N102"/>
  <c r="N136" s="1"/>
  <c r="N113"/>
  <c r="N147" s="1"/>
  <c r="R121"/>
  <c r="R154" s="1"/>
  <c r="R104"/>
  <c r="R138" s="1"/>
  <c r="R111"/>
  <c r="R145" s="1"/>
  <c r="R119"/>
  <c r="R152" s="1"/>
  <c r="R102"/>
  <c r="R136" s="1"/>
  <c r="R113"/>
  <c r="R147" s="1"/>
  <c r="V121"/>
  <c r="V154" s="1"/>
  <c r="V104"/>
  <c r="V138" s="1"/>
  <c r="V111"/>
  <c r="V145" s="1"/>
  <c r="V119"/>
  <c r="V152" s="1"/>
  <c r="V102"/>
  <c r="V136" s="1"/>
  <c r="V113"/>
  <c r="V147" s="1"/>
  <c r="U117"/>
  <c r="U150" s="1"/>
  <c r="U124"/>
  <c r="U157" s="1"/>
  <c r="U107"/>
  <c r="U141" s="1"/>
  <c r="U114"/>
  <c r="U148" s="1"/>
  <c r="U101"/>
  <c r="AK101" s="1"/>
  <c r="AK95"/>
  <c r="AK94"/>
  <c r="U109"/>
  <c r="U143" s="1"/>
  <c r="L121"/>
  <c r="L154" s="1"/>
  <c r="L104"/>
  <c r="L138" s="1"/>
  <c r="L111"/>
  <c r="L145" s="1"/>
  <c r="L123"/>
  <c r="L156" s="1"/>
  <c r="L106"/>
  <c r="L140" s="1"/>
  <c r="L113"/>
  <c r="L147" s="1"/>
  <c r="D26" i="1" l="1"/>
  <c r="AJ103" i="8"/>
  <c r="X95"/>
  <c r="AM120"/>
  <c r="AE117"/>
  <c r="AC39" i="6"/>
  <c r="AL124" i="8"/>
  <c r="AH104"/>
  <c r="AB121"/>
  <c r="AE105"/>
  <c r="AJ106"/>
  <c r="AJ112"/>
  <c r="AJ115"/>
  <c r="AL119"/>
  <c r="AM105"/>
  <c r="AI110"/>
  <c r="AE120"/>
  <c r="AL104"/>
  <c r="AM110"/>
  <c r="AI120"/>
  <c r="AH109"/>
  <c r="AG124"/>
  <c r="AH108"/>
  <c r="AK114"/>
  <c r="AD113"/>
  <c r="AI105"/>
  <c r="AE110"/>
  <c r="AL114"/>
  <c r="AC117"/>
  <c r="AJ105"/>
  <c r="AD108"/>
  <c r="AE107"/>
  <c r="AG114"/>
  <c r="AJ110"/>
  <c r="AJ120"/>
  <c r="AH113"/>
  <c r="AD119"/>
  <c r="AM103"/>
  <c r="AM112"/>
  <c r="AI122"/>
  <c r="AI103"/>
  <c r="AI112"/>
  <c r="AE122"/>
  <c r="AE103"/>
  <c r="AE112"/>
  <c r="AB111"/>
  <c r="AL113"/>
  <c r="AH119"/>
  <c r="AD104"/>
  <c r="AL107"/>
  <c r="AL117"/>
  <c r="AC107"/>
  <c r="AH123"/>
  <c r="AI114"/>
  <c r="AF114"/>
  <c r="AK124"/>
  <c r="H228" i="6"/>
  <c r="AF124" i="8"/>
  <c r="AJ114"/>
  <c r="AB106"/>
  <c r="AM122"/>
  <c r="AL109"/>
  <c r="AC109"/>
  <c r="AJ122"/>
  <c r="AM109"/>
  <c r="AM117"/>
  <c r="AJ124"/>
  <c r="AB123"/>
  <c r="AB104"/>
  <c r="AK109"/>
  <c r="AK107"/>
  <c r="AK117"/>
  <c r="AL102"/>
  <c r="AL111"/>
  <c r="AL121"/>
  <c r="AH102"/>
  <c r="AH121"/>
  <c r="AD102"/>
  <c r="AD111"/>
  <c r="AD121"/>
  <c r="AH114"/>
  <c r="AH124"/>
  <c r="AD109"/>
  <c r="AD107"/>
  <c r="AD117"/>
  <c r="AM106"/>
  <c r="AM115"/>
  <c r="AM125"/>
  <c r="AI106"/>
  <c r="AI115"/>
  <c r="AI125"/>
  <c r="AE106"/>
  <c r="AE115"/>
  <c r="AE125"/>
  <c r="AF106"/>
  <c r="AF115"/>
  <c r="AF125"/>
  <c r="AH107"/>
  <c r="AH117"/>
  <c r="AD114"/>
  <c r="AD124"/>
  <c r="AM118"/>
  <c r="AM123"/>
  <c r="AM108"/>
  <c r="AI118"/>
  <c r="AI123"/>
  <c r="AI108"/>
  <c r="AE118"/>
  <c r="AE123"/>
  <c r="AE108"/>
  <c r="AF118"/>
  <c r="AF123"/>
  <c r="AF108"/>
  <c r="AG109"/>
  <c r="AD118"/>
  <c r="AI124"/>
  <c r="AJ121"/>
  <c r="AJ125"/>
  <c r="AH111"/>
  <c r="AG107"/>
  <c r="AG117"/>
  <c r="AC114"/>
  <c r="AC124"/>
  <c r="AD123"/>
  <c r="AM107"/>
  <c r="AE109"/>
  <c r="AE124"/>
  <c r="AF109"/>
  <c r="AF107"/>
  <c r="AF117"/>
  <c r="M224" i="6"/>
  <c r="V126" i="8"/>
  <c r="V127" s="1"/>
  <c r="V135"/>
  <c r="V159" s="1"/>
  <c r="V160" s="1"/>
  <c r="N126"/>
  <c r="N127" s="1"/>
  <c r="N135"/>
  <c r="N159" s="1"/>
  <c r="N160" s="1"/>
  <c r="M126"/>
  <c r="M127" s="1"/>
  <c r="M135"/>
  <c r="M159" s="1"/>
  <c r="M160" s="1"/>
  <c r="L247" i="6"/>
  <c r="S126" i="8"/>
  <c r="S127" s="1"/>
  <c r="S135"/>
  <c r="S159" s="1"/>
  <c r="S160" s="1"/>
  <c r="P126"/>
  <c r="P127" s="1"/>
  <c r="P135"/>
  <c r="P159" s="1"/>
  <c r="P160" s="1"/>
  <c r="E4" i="7"/>
  <c r="AF122" i="8"/>
  <c r="AF103"/>
  <c r="AF112"/>
  <c r="AG102"/>
  <c r="AG111"/>
  <c r="AG121"/>
  <c r="AC102"/>
  <c r="AC111"/>
  <c r="AC121"/>
  <c r="AB109"/>
  <c r="AB119"/>
  <c r="AB124"/>
  <c r="AK105"/>
  <c r="AK110"/>
  <c r="AK120"/>
  <c r="AB105"/>
  <c r="AB114"/>
  <c r="AB120"/>
  <c r="AK118"/>
  <c r="AK123"/>
  <c r="AK108"/>
  <c r="AL105"/>
  <c r="AL110"/>
  <c r="AL120"/>
  <c r="AH105"/>
  <c r="AH110"/>
  <c r="AH120"/>
  <c r="AD105"/>
  <c r="AD110"/>
  <c r="AD120"/>
  <c r="AM102"/>
  <c r="AM111"/>
  <c r="AM121"/>
  <c r="AI102"/>
  <c r="AI111"/>
  <c r="AI121"/>
  <c r="AE102"/>
  <c r="AE111"/>
  <c r="AE121"/>
  <c r="AF102"/>
  <c r="AF111"/>
  <c r="AF121"/>
  <c r="AG122"/>
  <c r="AG103"/>
  <c r="AG112"/>
  <c r="AC122"/>
  <c r="AC103"/>
  <c r="AC112"/>
  <c r="AJ118"/>
  <c r="AB118"/>
  <c r="AB115"/>
  <c r="AB125"/>
  <c r="AK102"/>
  <c r="AK111"/>
  <c r="AK121"/>
  <c r="AL106"/>
  <c r="AL115"/>
  <c r="AL125"/>
  <c r="AH106"/>
  <c r="AH115"/>
  <c r="AH125"/>
  <c r="AD106"/>
  <c r="AD115"/>
  <c r="AD125"/>
  <c r="AM114"/>
  <c r="AM124"/>
  <c r="AI109"/>
  <c r="AI107"/>
  <c r="AI117"/>
  <c r="AE114"/>
  <c r="G124"/>
  <c r="I70" i="1"/>
  <c r="AN95" i="8"/>
  <c r="AG106"/>
  <c r="AG115"/>
  <c r="AG125"/>
  <c r="AC106"/>
  <c r="AC115"/>
  <c r="AC125"/>
  <c r="AJ102"/>
  <c r="AJ111"/>
  <c r="U126"/>
  <c r="U127" s="1"/>
  <c r="U135"/>
  <c r="U159" s="1"/>
  <c r="U160" s="1"/>
  <c r="J85" i="6"/>
  <c r="J88" s="1"/>
  <c r="H85" i="1" s="1"/>
  <c r="K82" i="6"/>
  <c r="R126" i="8"/>
  <c r="R127" s="1"/>
  <c r="R135"/>
  <c r="R159" s="1"/>
  <c r="R160" s="1"/>
  <c r="Q126"/>
  <c r="Q127" s="1"/>
  <c r="Q135"/>
  <c r="Q159" s="1"/>
  <c r="Q160" s="1"/>
  <c r="J223" i="6"/>
  <c r="I69" i="1"/>
  <c r="L126" i="8"/>
  <c r="L127" s="1"/>
  <c r="L135"/>
  <c r="L159" s="1"/>
  <c r="L160" s="1"/>
  <c r="W126"/>
  <c r="W127" s="1"/>
  <c r="W135"/>
  <c r="W159" s="1"/>
  <c r="W160" s="1"/>
  <c r="O126"/>
  <c r="O127" s="1"/>
  <c r="O135"/>
  <c r="O159" s="1"/>
  <c r="O160" s="1"/>
  <c r="AF105"/>
  <c r="AF110"/>
  <c r="AF120"/>
  <c r="AG113"/>
  <c r="AG119"/>
  <c r="AG104"/>
  <c r="AC113"/>
  <c r="AC119"/>
  <c r="AC104"/>
  <c r="AB102"/>
  <c r="AB107"/>
  <c r="AB117"/>
  <c r="AK122"/>
  <c r="AK103"/>
  <c r="AK112"/>
  <c r="AB122"/>
  <c r="AB103"/>
  <c r="AB112"/>
  <c r="AK106"/>
  <c r="AK115"/>
  <c r="AK125"/>
  <c r="AL122"/>
  <c r="AL103"/>
  <c r="AL112"/>
  <c r="AH122"/>
  <c r="AH103"/>
  <c r="AH112"/>
  <c r="AD122"/>
  <c r="AD103"/>
  <c r="AD112"/>
  <c r="AM113"/>
  <c r="AM119"/>
  <c r="AM104"/>
  <c r="AI113"/>
  <c r="AI119"/>
  <c r="AI104"/>
  <c r="AE113"/>
  <c r="AE119"/>
  <c r="AE104"/>
  <c r="AF113"/>
  <c r="AF119"/>
  <c r="AF104"/>
  <c r="AG105"/>
  <c r="AG110"/>
  <c r="AG120"/>
  <c r="AC105"/>
  <c r="AC110"/>
  <c r="AC120"/>
  <c r="AJ108"/>
  <c r="AB110"/>
  <c r="AB108"/>
  <c r="AK113"/>
  <c r="AK119"/>
  <c r="AK104"/>
  <c r="AL118"/>
  <c r="AL123"/>
  <c r="AL108"/>
  <c r="AH118"/>
  <c r="I225" i="6"/>
  <c r="I226" s="1"/>
  <c r="I227" s="1"/>
  <c r="T126" i="8"/>
  <c r="T127" s="1"/>
  <c r="T135"/>
  <c r="T159" s="1"/>
  <c r="T160" s="1"/>
  <c r="AB113"/>
  <c r="AG118"/>
  <c r="AG123"/>
  <c r="AG108"/>
  <c r="AC118"/>
  <c r="AC123"/>
  <c r="AC108"/>
  <c r="AJ113"/>
  <c r="AJ119"/>
  <c r="AJ104"/>
  <c r="AJ109"/>
  <c r="AJ107"/>
  <c r="AJ117"/>
  <c r="AJ123"/>
  <c r="AF126" l="1"/>
  <c r="AF127" s="1"/>
  <c r="AI126"/>
  <c r="AI127" s="1"/>
  <c r="AE126"/>
  <c r="AE127" s="1"/>
  <c r="I228" i="6"/>
  <c r="AK126" i="8"/>
  <c r="AK127" s="1"/>
  <c r="AD126"/>
  <c r="AD127" s="1"/>
  <c r="AH126"/>
  <c r="AH127" s="1"/>
  <c r="AB126"/>
  <c r="AB127" s="1"/>
  <c r="AC126"/>
  <c r="AC127" s="1"/>
  <c r="AM126"/>
  <c r="AM127" s="1"/>
  <c r="AL126"/>
  <c r="AL127" s="1"/>
  <c r="AJ126"/>
  <c r="AJ127" s="1"/>
  <c r="AG126"/>
  <c r="AG127" s="1"/>
  <c r="J225" i="6"/>
  <c r="J226" s="1"/>
  <c r="J227" s="1"/>
  <c r="E10" i="7"/>
  <c r="E9" s="1"/>
  <c r="J6" s="1"/>
  <c r="K223" i="6"/>
  <c r="J69" i="1"/>
  <c r="G125" i="8"/>
  <c r="J70" i="1"/>
  <c r="N224" i="6"/>
  <c r="X127" i="8"/>
  <c r="K85" i="6"/>
  <c r="K88" s="1"/>
  <c r="I85" i="1" s="1"/>
  <c r="L82" i="6"/>
  <c r="M247"/>
  <c r="X160" i="8"/>
  <c r="AN127" l="1"/>
  <c r="AN128" s="1"/>
  <c r="K9" i="7"/>
  <c r="F90" i="1" s="1"/>
  <c r="N9" i="7"/>
  <c r="I90" i="1" s="1"/>
  <c r="P9" i="7"/>
  <c r="K90" i="1" s="1"/>
  <c r="M9" i="7"/>
  <c r="H90" i="1" s="1"/>
  <c r="J9" i="7"/>
  <c r="E90" i="1" s="1"/>
  <c r="O9" i="7"/>
  <c r="J90" i="1" s="1"/>
  <c r="L9" i="7"/>
  <c r="G90" i="1" s="1"/>
  <c r="S9" i="7"/>
  <c r="N90" i="1" s="1"/>
  <c r="Q9" i="7"/>
  <c r="L90" i="1" s="1"/>
  <c r="R9" i="7"/>
  <c r="M90" i="1" s="1"/>
  <c r="AF9" i="7"/>
  <c r="AH9"/>
  <c r="AA9"/>
  <c r="X9"/>
  <c r="AG9"/>
  <c r="AE9"/>
  <c r="V9"/>
  <c r="T9"/>
  <c r="AB9"/>
  <c r="I47" i="1"/>
  <c r="Y9" i="7"/>
  <c r="W9"/>
  <c r="Z9"/>
  <c r="U9"/>
  <c r="AD9"/>
  <c r="AC9"/>
  <c r="N247" i="6"/>
  <c r="L85"/>
  <c r="L88" s="1"/>
  <c r="J85" i="1" s="1"/>
  <c r="M82" i="6"/>
  <c r="O224"/>
  <c r="G126" i="8"/>
  <c r="K70" i="1"/>
  <c r="E12" i="7"/>
  <c r="E11" s="1"/>
  <c r="I48" i="1" s="1"/>
  <c r="X128" i="8"/>
  <c r="E38" i="1" s="1"/>
  <c r="K225" i="6"/>
  <c r="K226" s="1"/>
  <c r="K227" s="1"/>
  <c r="K69" i="1"/>
  <c r="L223" i="6"/>
  <c r="J228"/>
  <c r="AB129" i="8" l="1"/>
  <c r="AE129"/>
  <c r="AH129"/>
  <c r="AF129"/>
  <c r="AJ129"/>
  <c r="AM129"/>
  <c r="AG129"/>
  <c r="AD129"/>
  <c r="AL129"/>
  <c r="AK129"/>
  <c r="AI129"/>
  <c r="AC129"/>
  <c r="N82" i="6"/>
  <c r="M85"/>
  <c r="M88" s="1"/>
  <c r="K85" i="1" s="1"/>
  <c r="L69"/>
  <c r="M223" i="6"/>
  <c r="G127" i="8"/>
  <c r="L70" i="1"/>
  <c r="P224" i="6"/>
  <c r="K228"/>
  <c r="L225"/>
  <c r="L226" s="1"/>
  <c r="L227" s="1"/>
  <c r="O247"/>
  <c r="AA129" i="8" l="1"/>
  <c r="L228" i="6"/>
  <c r="G128" i="8"/>
  <c r="M70" i="1"/>
  <c r="N223" i="6"/>
  <c r="M69" i="1"/>
  <c r="M225" i="6"/>
  <c r="M226" s="1"/>
  <c r="M227" s="1"/>
  <c r="P247"/>
  <c r="N85"/>
  <c r="N88" s="1"/>
  <c r="L85" i="1" s="1"/>
  <c r="O82" i="6"/>
  <c r="Q224"/>
  <c r="Q247" l="1"/>
  <c r="R224"/>
  <c r="N225"/>
  <c r="N226" s="1"/>
  <c r="N227" s="1"/>
  <c r="O223"/>
  <c r="N69" i="1"/>
  <c r="G129" i="8"/>
  <c r="N70" i="1"/>
  <c r="M228" i="6"/>
  <c r="O85"/>
  <c r="O88" s="1"/>
  <c r="M85" i="1" s="1"/>
  <c r="P82" i="6"/>
  <c r="S224" l="1"/>
  <c r="R247"/>
  <c r="N228"/>
  <c r="Q82"/>
  <c r="P85"/>
  <c r="P88" s="1"/>
  <c r="N85" i="1" s="1"/>
  <c r="G130" i="8"/>
  <c r="O70" i="1"/>
  <c r="O225" i="6"/>
  <c r="O226" s="1"/>
  <c r="O227" s="1"/>
  <c r="O69" i="1"/>
  <c r="P223" i="6"/>
  <c r="P69" i="1" l="1"/>
  <c r="Q223" i="6"/>
  <c r="O228"/>
  <c r="Q85"/>
  <c r="Q88" s="1"/>
  <c r="O85" i="1" s="1"/>
  <c r="R82" i="6"/>
  <c r="P225"/>
  <c r="P226" s="1"/>
  <c r="P227" s="1"/>
  <c r="S247"/>
  <c r="G131" i="8"/>
  <c r="P70" i="1"/>
  <c r="T224" i="6"/>
  <c r="P228" l="1"/>
  <c r="G132" i="8"/>
  <c r="Q70" i="1"/>
  <c r="T247" i="6"/>
  <c r="R223"/>
  <c r="Q69" i="1"/>
  <c r="R85" i="6"/>
  <c r="R88" s="1"/>
  <c r="P85" i="1" s="1"/>
  <c r="S82" i="6"/>
  <c r="Q225"/>
  <c r="Q226" s="1"/>
  <c r="Q227" s="1"/>
  <c r="U224"/>
  <c r="Q228" l="1"/>
  <c r="V224"/>
  <c r="G133" i="8"/>
  <c r="R70" i="1"/>
  <c r="R225" i="6"/>
  <c r="R226" s="1"/>
  <c r="R227" s="1"/>
  <c r="S223"/>
  <c r="R69" i="1"/>
  <c r="S85" i="6"/>
  <c r="S88" s="1"/>
  <c r="Q85" i="1" s="1"/>
  <c r="T82" i="6"/>
  <c r="U247"/>
  <c r="R228" l="1"/>
  <c r="V247"/>
  <c r="S225"/>
  <c r="S226" s="1"/>
  <c r="S227" s="1"/>
  <c r="G134" i="8"/>
  <c r="S70" i="1"/>
  <c r="T85" i="6"/>
  <c r="T88" s="1"/>
  <c r="R85" i="1" s="1"/>
  <c r="U82" i="6"/>
  <c r="T223"/>
  <c r="S69" i="1"/>
  <c r="W224" i="6"/>
  <c r="U223" l="1"/>
  <c r="T69" i="1"/>
  <c r="G135" i="8"/>
  <c r="T70" i="1"/>
  <c r="W247" i="6"/>
  <c r="U85"/>
  <c r="U88" s="1"/>
  <c r="S85" i="1" s="1"/>
  <c r="V82" i="6"/>
  <c r="S228"/>
  <c r="X224"/>
  <c r="T225"/>
  <c r="T226" s="1"/>
  <c r="T227" s="1"/>
  <c r="U225" l="1"/>
  <c r="U226" s="1"/>
  <c r="U227" s="1"/>
  <c r="Y224"/>
  <c r="V85"/>
  <c r="V88" s="1"/>
  <c r="T85" i="1" s="1"/>
  <c r="W82" i="6"/>
  <c r="V223"/>
  <c r="U69" i="1"/>
  <c r="X247" i="6"/>
  <c r="T228"/>
  <c r="G136" i="8"/>
  <c r="U70" i="1"/>
  <c r="G137" i="8" l="1"/>
  <c r="V70" i="1"/>
  <c r="V225" i="6"/>
  <c r="V226" s="1"/>
  <c r="V227" s="1"/>
  <c r="V69" i="1"/>
  <c r="W223" i="6"/>
  <c r="W85"/>
  <c r="W88" s="1"/>
  <c r="U85" i="1" s="1"/>
  <c r="X82" i="6"/>
  <c r="U228"/>
  <c r="Y247"/>
  <c r="Z224"/>
  <c r="Z247" l="1"/>
  <c r="AA224"/>
  <c r="W225"/>
  <c r="W226" s="1"/>
  <c r="W227" s="1"/>
  <c r="V228"/>
  <c r="Y82"/>
  <c r="X85"/>
  <c r="X88" s="1"/>
  <c r="V85" i="1" s="1"/>
  <c r="G138" i="8"/>
  <c r="W70" i="1"/>
  <c r="X223" i="6"/>
  <c r="W69" i="1"/>
  <c r="X225" i="6" l="1"/>
  <c r="X226" s="1"/>
  <c r="X227" s="1"/>
  <c r="X70" i="1"/>
  <c r="G139" i="8"/>
  <c r="Y223" i="6"/>
  <c r="X69" i="1"/>
  <c r="AA247" i="6"/>
  <c r="Y85"/>
  <c r="Y88" s="1"/>
  <c r="W85" i="1" s="1"/>
  <c r="Z82" i="6"/>
  <c r="W228"/>
  <c r="AB224"/>
  <c r="Y69" i="1" l="1"/>
  <c r="Z223" i="6"/>
  <c r="Y70" i="1"/>
  <c r="G140" i="8"/>
  <c r="AB247" i="6"/>
  <c r="X228"/>
  <c r="AC224"/>
  <c r="Z85"/>
  <c r="Z88" s="1"/>
  <c r="X85" i="1" s="1"/>
  <c r="AA82" i="6"/>
  <c r="Y225"/>
  <c r="Y226" s="1"/>
  <c r="Y227" s="1"/>
  <c r="AB82" l="1"/>
  <c r="AA85"/>
  <c r="AA88" s="1"/>
  <c r="Y85" i="1" s="1"/>
  <c r="G141" i="8"/>
  <c r="Z70" i="1"/>
  <c r="Z69"/>
  <c r="AA223" i="6"/>
  <c r="AD224"/>
  <c r="Z225"/>
  <c r="Z226" s="1"/>
  <c r="Z227" s="1"/>
  <c r="AC247"/>
  <c r="Y228"/>
  <c r="Z228" l="1"/>
  <c r="G142" i="8"/>
  <c r="AA70" i="1"/>
  <c r="AD247" i="6"/>
  <c r="AE224"/>
  <c r="AB223"/>
  <c r="AA69" i="1"/>
  <c r="AB85" i="6"/>
  <c r="AB88" s="1"/>
  <c r="Z85" i="1" s="1"/>
  <c r="AC82" i="6"/>
  <c r="AA225"/>
  <c r="AA226" s="1"/>
  <c r="AA227" s="1"/>
  <c r="AC223" l="1"/>
  <c r="AB69" i="1"/>
  <c r="AB225" i="6"/>
  <c r="AB226" s="1"/>
  <c r="AB227" s="1"/>
  <c r="AE247"/>
  <c r="AB70" i="1"/>
  <c r="G143" i="8"/>
  <c r="AA228" i="6"/>
  <c r="AD82"/>
  <c r="AC85"/>
  <c r="AC88" s="1"/>
  <c r="AA85" i="1" s="1"/>
  <c r="AB228" i="6" l="1"/>
  <c r="AE82"/>
  <c r="AE85" s="1"/>
  <c r="AD85"/>
  <c r="AD88" s="1"/>
  <c r="AB85" i="1" s="1"/>
  <c r="AC70"/>
  <c r="G144" i="8"/>
  <c r="AC225" i="6"/>
  <c r="AC226" s="1"/>
  <c r="AC227" s="1"/>
  <c r="AC69" i="1"/>
  <c r="AE223" i="6" s="1"/>
  <c r="AD223"/>
  <c r="AE88" l="1"/>
  <c r="AC85" i="1" s="1"/>
  <c r="AD225" i="6"/>
  <c r="AD226" s="1"/>
  <c r="AD227" s="1"/>
  <c r="AC228"/>
  <c r="AE225"/>
  <c r="AE226" s="1"/>
  <c r="AE227" s="1"/>
  <c r="B144" i="8" l="1"/>
  <c r="AE228" i="6"/>
  <c r="AD228"/>
  <c r="D3" l="1"/>
  <c r="D5"/>
  <c r="D203" l="1"/>
  <c r="C122" i="8" l="1"/>
  <c r="D122" s="1"/>
  <c r="E122" s="1"/>
  <c r="H74" i="1" s="1"/>
  <c r="C124" i="8"/>
  <c r="D124" s="1"/>
  <c r="E124" s="1"/>
  <c r="J74" i="1" s="1"/>
  <c r="C123" i="8"/>
  <c r="D123" s="1"/>
  <c r="C125"/>
  <c r="D125" s="1"/>
  <c r="F125" s="1"/>
  <c r="C126"/>
  <c r="D126" s="1"/>
  <c r="C127"/>
  <c r="D127" s="1"/>
  <c r="M71" i="1" s="1"/>
  <c r="M77" s="1"/>
  <c r="C128" i="8"/>
  <c r="D128" s="1"/>
  <c r="C129"/>
  <c r="D129" s="1"/>
  <c r="O71" i="1" s="1"/>
  <c r="O77" s="1"/>
  <c r="C130" i="8"/>
  <c r="D130" s="1"/>
  <c r="C131"/>
  <c r="D131" s="1"/>
  <c r="E131" s="1"/>
  <c r="Q74" i="1" s="1"/>
  <c r="C132" i="8"/>
  <c r="D132" s="1"/>
  <c r="C133"/>
  <c r="D133" s="1"/>
  <c r="F133" s="1"/>
  <c r="C134"/>
  <c r="D134" s="1"/>
  <c r="C135"/>
  <c r="D135" s="1"/>
  <c r="C136"/>
  <c r="D136" s="1"/>
  <c r="C137"/>
  <c r="D137" s="1"/>
  <c r="C138"/>
  <c r="D138" s="1"/>
  <c r="C139"/>
  <c r="D139" s="1"/>
  <c r="C140"/>
  <c r="D140" s="1"/>
  <c r="C141"/>
  <c r="D141" s="1"/>
  <c r="C142"/>
  <c r="D142" s="1"/>
  <c r="C143"/>
  <c r="D143" s="1"/>
  <c r="C120"/>
  <c r="D120" s="1"/>
  <c r="F120" s="1"/>
  <c r="C121"/>
  <c r="D121" s="1"/>
  <c r="E121" s="1"/>
  <c r="G74" i="1" s="1"/>
  <c r="C119" i="8"/>
  <c r="D119" s="1"/>
  <c r="E119" s="1"/>
  <c r="C40" i="1" s="1"/>
  <c r="G76" l="1"/>
  <c r="G80"/>
  <c r="H76"/>
  <c r="H80"/>
  <c r="J76"/>
  <c r="J80"/>
  <c r="Q76"/>
  <c r="Q80"/>
  <c r="C144" i="8"/>
  <c r="S71" i="1"/>
  <c r="S77" s="1"/>
  <c r="E137" i="8"/>
  <c r="W74" i="1" s="1"/>
  <c r="F137" i="8"/>
  <c r="W71" i="1"/>
  <c r="W77" s="1"/>
  <c r="E140" i="8"/>
  <c r="Z74" i="1" s="1"/>
  <c r="Z80" s="1"/>
  <c r="F140" i="8"/>
  <c r="Z71" i="1"/>
  <c r="E142" i="8"/>
  <c r="AB74" i="1" s="1"/>
  <c r="AB80" s="1"/>
  <c r="F142" i="8"/>
  <c r="AB71" i="1"/>
  <c r="E139" i="8"/>
  <c r="Y74" i="1" s="1"/>
  <c r="Y80" s="1"/>
  <c r="F139" i="8"/>
  <c r="Y71" i="1"/>
  <c r="E143" i="8"/>
  <c r="AC74" i="1" s="1"/>
  <c r="AC80" s="1"/>
  <c r="F143" i="8"/>
  <c r="AC71" i="1"/>
  <c r="E136" i="8"/>
  <c r="V74" i="1" s="1"/>
  <c r="V71"/>
  <c r="V77" s="1"/>
  <c r="F136" i="8"/>
  <c r="E138"/>
  <c r="X74" i="1" s="1"/>
  <c r="F138" i="8"/>
  <c r="X71" i="1"/>
  <c r="X77" s="1"/>
  <c r="U71"/>
  <c r="U77" s="1"/>
  <c r="E135" i="8"/>
  <c r="U74" i="1" s="1"/>
  <c r="F135" i="8"/>
  <c r="E134"/>
  <c r="T74" i="1" s="1"/>
  <c r="F134" i="8"/>
  <c r="T71" i="1"/>
  <c r="T77" s="1"/>
  <c r="E141" i="8"/>
  <c r="AA74" i="1" s="1"/>
  <c r="AA80" s="1"/>
  <c r="AA71"/>
  <c r="F141" i="8"/>
  <c r="E133"/>
  <c r="S74" i="1" s="1"/>
  <c r="F131" i="8"/>
  <c r="H131" s="1"/>
  <c r="Q72" i="1" s="1"/>
  <c r="Q78" s="1"/>
  <c r="F132" i="8"/>
  <c r="R71" i="1"/>
  <c r="R77" s="1"/>
  <c r="E132" i="8"/>
  <c r="R74" i="1" s="1"/>
  <c r="H71"/>
  <c r="H82" s="1"/>
  <c r="Q71"/>
  <c r="E129" i="8"/>
  <c r="O74" i="1" s="1"/>
  <c r="F129" i="8"/>
  <c r="F122"/>
  <c r="H122" s="1"/>
  <c r="H72" i="1" s="1"/>
  <c r="H78" s="1"/>
  <c r="E130" i="8"/>
  <c r="P74" i="1" s="1"/>
  <c r="P71"/>
  <c r="P77" s="1"/>
  <c r="F130" i="8"/>
  <c r="F127"/>
  <c r="F71" i="1"/>
  <c r="O82"/>
  <c r="E120" i="8"/>
  <c r="F74" i="1" s="1"/>
  <c r="K71"/>
  <c r="E128" i="8"/>
  <c r="N74" i="1" s="1"/>
  <c r="N71"/>
  <c r="N77" s="1"/>
  <c r="F128" i="8"/>
  <c r="E127"/>
  <c r="M74" i="1" s="1"/>
  <c r="E125" i="8"/>
  <c r="K74" i="1" s="1"/>
  <c r="M82"/>
  <c r="C38"/>
  <c r="E74"/>
  <c r="J71"/>
  <c r="F126" i="8"/>
  <c r="L71" i="1"/>
  <c r="L77" s="1"/>
  <c r="E126" i="8"/>
  <c r="L74" i="1" s="1"/>
  <c r="E71"/>
  <c r="F119" i="8"/>
  <c r="I119" s="1"/>
  <c r="E73" i="1" s="1"/>
  <c r="E79" s="1"/>
  <c r="F124" i="8"/>
  <c r="I124" s="1"/>
  <c r="J73" i="1" s="1"/>
  <c r="J79" s="1"/>
  <c r="F121" i="8"/>
  <c r="D144"/>
  <c r="G71" i="1"/>
  <c r="G77" s="1"/>
  <c r="I71"/>
  <c r="I77" s="1"/>
  <c r="E123" i="8"/>
  <c r="I74" i="1" s="1"/>
  <c r="F123" i="8"/>
  <c r="F76" i="1" l="1"/>
  <c r="F80"/>
  <c r="R76"/>
  <c r="R80"/>
  <c r="S76"/>
  <c r="S80"/>
  <c r="U76"/>
  <c r="U80"/>
  <c r="X76"/>
  <c r="X80"/>
  <c r="E76"/>
  <c r="E80"/>
  <c r="V76"/>
  <c r="V80"/>
  <c r="I76"/>
  <c r="I80"/>
  <c r="K76"/>
  <c r="K80"/>
  <c r="N76"/>
  <c r="N80"/>
  <c r="P76"/>
  <c r="P80"/>
  <c r="T76"/>
  <c r="T80"/>
  <c r="W76"/>
  <c r="W80"/>
  <c r="L76"/>
  <c r="L80"/>
  <c r="M76"/>
  <c r="M80"/>
  <c r="O76"/>
  <c r="O80"/>
  <c r="S82"/>
  <c r="K82"/>
  <c r="K77"/>
  <c r="J240" i="6"/>
  <c r="H77" i="1"/>
  <c r="E82"/>
  <c r="E77"/>
  <c r="J82"/>
  <c r="J77"/>
  <c r="L67" i="6" s="1"/>
  <c r="F82" i="1"/>
  <c r="F77"/>
  <c r="Q82"/>
  <c r="Q77"/>
  <c r="I122" i="8"/>
  <c r="H73" i="1" s="1"/>
  <c r="H79" s="1"/>
  <c r="I120" i="8"/>
  <c r="F73" i="1" s="1"/>
  <c r="F79" s="1"/>
  <c r="H120" i="8"/>
  <c r="F72" i="1" s="1"/>
  <c r="F78" s="1"/>
  <c r="H129" i="8"/>
  <c r="O72" i="1" s="1"/>
  <c r="O78" s="1"/>
  <c r="AE240" i="6"/>
  <c r="AC82" i="1"/>
  <c r="H139" i="8"/>
  <c r="Y72" i="1" s="1"/>
  <c r="Y78" s="1"/>
  <c r="I139" i="8"/>
  <c r="Y73" i="1" s="1"/>
  <c r="Y79" s="1"/>
  <c r="AA67" i="6" s="1"/>
  <c r="Y240"/>
  <c r="W82" i="1"/>
  <c r="AA82"/>
  <c r="AC240" i="6"/>
  <c r="X82" i="1"/>
  <c r="Z240" i="6"/>
  <c r="X240"/>
  <c r="V82" i="1"/>
  <c r="AD240" i="6"/>
  <c r="AB82" i="1"/>
  <c r="H140" i="8"/>
  <c r="Z72" i="1" s="1"/>
  <c r="Z78" s="1"/>
  <c r="I140" i="8"/>
  <c r="Z73" i="1" s="1"/>
  <c r="Z79" s="1"/>
  <c r="AB67" i="6" s="1"/>
  <c r="I131" i="8"/>
  <c r="Q73" i="1" s="1"/>
  <c r="Q79" s="1"/>
  <c r="H141" i="8"/>
  <c r="AA72" i="1" s="1"/>
  <c r="AA78" s="1"/>
  <c r="I141" i="8"/>
  <c r="AA73" i="1" s="1"/>
  <c r="AA79" s="1"/>
  <c r="AC67" i="6" s="1"/>
  <c r="I134" i="8"/>
  <c r="T73" i="1" s="1"/>
  <c r="T79" s="1"/>
  <c r="H134" i="8"/>
  <c r="T72" i="1" s="1"/>
  <c r="T78" s="1"/>
  <c r="U82"/>
  <c r="W240" i="6"/>
  <c r="I136" i="8"/>
  <c r="V73" i="1" s="1"/>
  <c r="V79" s="1"/>
  <c r="H136" i="8"/>
  <c r="V72" i="1" s="1"/>
  <c r="V78" s="1"/>
  <c r="I143" i="8"/>
  <c r="AC73" i="1" s="1"/>
  <c r="AC79" s="1"/>
  <c r="AE67" i="6" s="1"/>
  <c r="H143" i="8"/>
  <c r="AC72" i="1" s="1"/>
  <c r="AC78" s="1"/>
  <c r="AB240" i="6"/>
  <c r="Z82" i="1"/>
  <c r="I137" i="8"/>
  <c r="W73" i="1" s="1"/>
  <c r="W79" s="1"/>
  <c r="H137" i="8"/>
  <c r="W72" i="1" s="1"/>
  <c r="W78" s="1"/>
  <c r="H240" i="6"/>
  <c r="Q240"/>
  <c r="U240"/>
  <c r="T82" i="1"/>
  <c r="V240" i="6"/>
  <c r="I135" i="8"/>
  <c r="U73" i="1" s="1"/>
  <c r="U79" s="1"/>
  <c r="H135" i="8"/>
  <c r="U72" i="1" s="1"/>
  <c r="U78" s="1"/>
  <c r="I138" i="8"/>
  <c r="X73" i="1" s="1"/>
  <c r="X79" s="1"/>
  <c r="H138" i="8"/>
  <c r="X72" i="1" s="1"/>
  <c r="X78" s="1"/>
  <c r="AA240" i="6"/>
  <c r="Y82" i="1"/>
  <c r="I142" i="8"/>
  <c r="AB73" i="1" s="1"/>
  <c r="AB79" s="1"/>
  <c r="AD67" i="6" s="1"/>
  <c r="H142" i="8"/>
  <c r="AB72" i="1" s="1"/>
  <c r="AB78" s="1"/>
  <c r="L240" i="6"/>
  <c r="I133" i="8"/>
  <c r="S73" i="1" s="1"/>
  <c r="S79" s="1"/>
  <c r="H133" i="8"/>
  <c r="S72" i="1" s="1"/>
  <c r="S78" s="1"/>
  <c r="G240" i="6"/>
  <c r="H127" i="8"/>
  <c r="M72" i="1" s="1"/>
  <c r="M78" s="1"/>
  <c r="I129" i="8"/>
  <c r="O73" i="1" s="1"/>
  <c r="O79" s="1"/>
  <c r="I132" i="8"/>
  <c r="R73" i="1" s="1"/>
  <c r="R79" s="1"/>
  <c r="H132" i="8"/>
  <c r="R72" i="1" s="1"/>
  <c r="R78" s="1"/>
  <c r="T240" i="6"/>
  <c r="R82" i="1"/>
  <c r="S240" i="6"/>
  <c r="R240"/>
  <c r="P82" i="1"/>
  <c r="H130" i="8"/>
  <c r="P72" i="1" s="1"/>
  <c r="P78" s="1"/>
  <c r="I130" i="8"/>
  <c r="P73" i="1" s="1"/>
  <c r="P79" s="1"/>
  <c r="H124" i="8"/>
  <c r="J72" i="1" s="1"/>
  <c r="J78" s="1"/>
  <c r="H119" i="8"/>
  <c r="E72" i="1" s="1"/>
  <c r="E78" s="1"/>
  <c r="C41"/>
  <c r="I127" i="8"/>
  <c r="M73" i="1" s="1"/>
  <c r="M79" s="1"/>
  <c r="P240" i="6"/>
  <c r="N82" i="1"/>
  <c r="I125" i="8"/>
  <c r="K73" i="1" s="1"/>
  <c r="K79" s="1"/>
  <c r="O240" i="6"/>
  <c r="I128" i="8"/>
  <c r="N73" i="1" s="1"/>
  <c r="N79" s="1"/>
  <c r="H128" i="8"/>
  <c r="N72" i="1" s="1"/>
  <c r="N78" s="1"/>
  <c r="H125" i="8"/>
  <c r="K72" i="1" s="1"/>
  <c r="K78" s="1"/>
  <c r="M240" i="6"/>
  <c r="I126" i="8"/>
  <c r="L73" i="1" s="1"/>
  <c r="L79" s="1"/>
  <c r="H126" i="8"/>
  <c r="L72" i="1" s="1"/>
  <c r="L78" s="1"/>
  <c r="L82"/>
  <c r="N240" i="6"/>
  <c r="H121" i="8"/>
  <c r="G72" i="1" s="1"/>
  <c r="G78" s="1"/>
  <c r="I121" i="8"/>
  <c r="G73" i="1" s="1"/>
  <c r="G79" s="1"/>
  <c r="I67" i="6" s="1"/>
  <c r="G82" i="1"/>
  <c r="I240" i="6"/>
  <c r="I82" i="1"/>
  <c r="K240" i="6"/>
  <c r="E144" i="8"/>
  <c r="F144"/>
  <c r="I123"/>
  <c r="I73" i="1" s="1"/>
  <c r="I79" s="1"/>
  <c r="H123" i="8"/>
  <c r="I72" i="1" s="1"/>
  <c r="I78" s="1"/>
  <c r="Z67" i="6" l="1"/>
  <c r="Y67"/>
  <c r="X67"/>
  <c r="W67"/>
  <c r="V67"/>
  <c r="U67"/>
  <c r="S67"/>
  <c r="T67"/>
  <c r="R67"/>
  <c r="Q67"/>
  <c r="P67"/>
  <c r="P68" s="1"/>
  <c r="N86" i="1" s="1"/>
  <c r="N88" s="1"/>
  <c r="O67" i="6"/>
  <c r="O68" s="1"/>
  <c r="M86" i="1" s="1"/>
  <c r="M88" s="1"/>
  <c r="N67" i="6"/>
  <c r="N68" s="1"/>
  <c r="L86" i="1" s="1"/>
  <c r="L88" s="1"/>
  <c r="M67" i="6"/>
  <c r="M68" s="1"/>
  <c r="K86" i="1" s="1"/>
  <c r="K88" s="1"/>
  <c r="J67" i="6"/>
  <c r="J68" s="1"/>
  <c r="H86" i="1" s="1"/>
  <c r="H89" s="1"/>
  <c r="K67" i="6"/>
  <c r="K68" s="1"/>
  <c r="I86" i="1" s="1"/>
  <c r="I89" s="1"/>
  <c r="H67" i="6"/>
  <c r="H68" s="1"/>
  <c r="F86" i="1" s="1"/>
  <c r="F88" s="1"/>
  <c r="G67" i="6"/>
  <c r="G68" s="1"/>
  <c r="E86" i="1" s="1"/>
  <c r="E89" s="1"/>
  <c r="AB68" i="6"/>
  <c r="Z86" i="1" s="1"/>
  <c r="Z88" s="1"/>
  <c r="AA68" i="6"/>
  <c r="Y86" i="1" s="1"/>
  <c r="Y88" s="1"/>
  <c r="Z68" i="6"/>
  <c r="X86" i="1" s="1"/>
  <c r="X89" s="1"/>
  <c r="Y68" i="6"/>
  <c r="W86" i="1" s="1"/>
  <c r="W88" s="1"/>
  <c r="X68" i="6"/>
  <c r="V86" i="1" s="1"/>
  <c r="V88" s="1"/>
  <c r="W68" i="6"/>
  <c r="U86" i="1" s="1"/>
  <c r="U88" s="1"/>
  <c r="V68" i="6"/>
  <c r="T86" i="1" s="1"/>
  <c r="T88" s="1"/>
  <c r="U68" i="6"/>
  <c r="S86" i="1" s="1"/>
  <c r="S88" s="1"/>
  <c r="S68" i="6"/>
  <c r="Q86" i="1" s="1"/>
  <c r="Q88" s="1"/>
  <c r="T68" i="6"/>
  <c r="R86" i="1" s="1"/>
  <c r="R89" s="1"/>
  <c r="R68" i="6"/>
  <c r="P86" i="1" s="1"/>
  <c r="P88" s="1"/>
  <c r="Q68" i="6"/>
  <c r="O86" i="1" s="1"/>
  <c r="O89" s="1"/>
  <c r="I68" i="6"/>
  <c r="G86" i="1" s="1"/>
  <c r="G88" s="1"/>
  <c r="L68" i="6"/>
  <c r="J86" i="1" s="1"/>
  <c r="J88" s="1"/>
  <c r="AD68" i="6"/>
  <c r="AB86" i="1" s="1"/>
  <c r="AB89" s="1"/>
  <c r="AC68" i="6"/>
  <c r="AA86" i="1" s="1"/>
  <c r="AA88" s="1"/>
  <c r="J83"/>
  <c r="E83"/>
  <c r="H83"/>
  <c r="Q83"/>
  <c r="F83"/>
  <c r="K83"/>
  <c r="O83"/>
  <c r="M83"/>
  <c r="S83"/>
  <c r="W83"/>
  <c r="U83"/>
  <c r="AB83"/>
  <c r="X83"/>
  <c r="V83"/>
  <c r="T83"/>
  <c r="AA83"/>
  <c r="AE68" i="6"/>
  <c r="AC86" i="1" s="1"/>
  <c r="AC88" s="1"/>
  <c r="AC83"/>
  <c r="Z83"/>
  <c r="Y83"/>
  <c r="R83"/>
  <c r="P83"/>
  <c r="N83"/>
  <c r="L83"/>
  <c r="I83"/>
  <c r="H144" i="8"/>
  <c r="G83" i="1"/>
  <c r="I144" i="8"/>
  <c r="H88" i="1" l="1"/>
  <c r="J92" i="6"/>
  <c r="J100" s="1"/>
  <c r="J101" s="1"/>
  <c r="O88" i="1"/>
  <c r="U89"/>
  <c r="Q92" i="6"/>
  <c r="Q103" s="1"/>
  <c r="Q104" s="1"/>
  <c r="S92"/>
  <c r="S106" s="1"/>
  <c r="S107" s="1"/>
  <c r="Q89" i="1"/>
  <c r="N89"/>
  <c r="W92" i="6"/>
  <c r="W103" s="1"/>
  <c r="W104" s="1"/>
  <c r="X88" i="1"/>
  <c r="S89"/>
  <c r="O92" i="6"/>
  <c r="O106" s="1"/>
  <c r="O107" s="1"/>
  <c r="P92"/>
  <c r="P103" s="1"/>
  <c r="P104" s="1"/>
  <c r="M89" i="1"/>
  <c r="P89"/>
  <c r="U92" i="6"/>
  <c r="U97" s="1"/>
  <c r="U98" s="1"/>
  <c r="AB88" i="1"/>
  <c r="AD92" i="6"/>
  <c r="AD94" s="1"/>
  <c r="AD95" s="1"/>
  <c r="Z92"/>
  <c r="Z106" s="1"/>
  <c r="Z107" s="1"/>
  <c r="N92"/>
  <c r="N100" s="1"/>
  <c r="N101" s="1"/>
  <c r="L89" i="1"/>
  <c r="Y92" i="6"/>
  <c r="Y100" s="1"/>
  <c r="Y101" s="1"/>
  <c r="H92"/>
  <c r="H94" s="1"/>
  <c r="H95" s="1"/>
  <c r="W89" i="1"/>
  <c r="I92" i="6"/>
  <c r="I106" s="1"/>
  <c r="I107" s="1"/>
  <c r="I88" i="1"/>
  <c r="G89"/>
  <c r="R92" i="6"/>
  <c r="R100" s="1"/>
  <c r="R101" s="1"/>
  <c r="R88" i="1"/>
  <c r="E88"/>
  <c r="V92" i="6"/>
  <c r="V103" s="1"/>
  <c r="V104" s="1"/>
  <c r="T92"/>
  <c r="T106" s="1"/>
  <c r="T107" s="1"/>
  <c r="G92"/>
  <c r="G97" s="1"/>
  <c r="G98" s="1"/>
  <c r="F89" i="1"/>
  <c r="T89"/>
  <c r="L92" i="6"/>
  <c r="L100" s="1"/>
  <c r="L101" s="1"/>
  <c r="J89" i="1"/>
  <c r="X92" i="6"/>
  <c r="V89" i="1"/>
  <c r="AC92" i="6"/>
  <c r="AC103" s="1"/>
  <c r="AC104" s="1"/>
  <c r="AA89" i="1"/>
  <c r="AE92" i="6"/>
  <c r="AE106" s="1"/>
  <c r="AE107" s="1"/>
  <c r="AC89" i="1"/>
  <c r="M92" i="6"/>
  <c r="K89" i="1"/>
  <c r="K92" i="6"/>
  <c r="K94" s="1"/>
  <c r="K95" s="1"/>
  <c r="Y89" i="1"/>
  <c r="AA92" i="6"/>
  <c r="Z89" i="1"/>
  <c r="AB92" i="6"/>
  <c r="J97" l="1"/>
  <c r="J98" s="1"/>
  <c r="J94"/>
  <c r="J95" s="1"/>
  <c r="S94"/>
  <c r="S95" s="1"/>
  <c r="J106"/>
  <c r="J107" s="1"/>
  <c r="J103"/>
  <c r="J104" s="1"/>
  <c r="S100"/>
  <c r="S101" s="1"/>
  <c r="O97"/>
  <c r="O98" s="1"/>
  <c r="Q97"/>
  <c r="Q98" s="1"/>
  <c r="W97"/>
  <c r="W98" s="1"/>
  <c r="Q106"/>
  <c r="Q107" s="1"/>
  <c r="S97"/>
  <c r="S98" s="1"/>
  <c r="Q100"/>
  <c r="Q101" s="1"/>
  <c r="Q94"/>
  <c r="Q95" s="1"/>
  <c r="S103"/>
  <c r="S104" s="1"/>
  <c r="U103"/>
  <c r="U104" s="1"/>
  <c r="O100"/>
  <c r="O101" s="1"/>
  <c r="U100"/>
  <c r="U101" s="1"/>
  <c r="O103"/>
  <c r="O104" s="1"/>
  <c r="U94"/>
  <c r="U95" s="1"/>
  <c r="O94"/>
  <c r="O95" s="1"/>
  <c r="W94"/>
  <c r="W95" s="1"/>
  <c r="W100"/>
  <c r="W101" s="1"/>
  <c r="W106"/>
  <c r="W107" s="1"/>
  <c r="P100"/>
  <c r="P101" s="1"/>
  <c r="P97"/>
  <c r="P98" s="1"/>
  <c r="P94"/>
  <c r="P95" s="1"/>
  <c r="P106"/>
  <c r="P107" s="1"/>
  <c r="U106"/>
  <c r="U107" s="1"/>
  <c r="AD103"/>
  <c r="AD104" s="1"/>
  <c r="Y97"/>
  <c r="Y98" s="1"/>
  <c r="I94"/>
  <c r="I95" s="1"/>
  <c r="Z97"/>
  <c r="Z98" s="1"/>
  <c r="I97"/>
  <c r="I98" s="1"/>
  <c r="AD100"/>
  <c r="AD101" s="1"/>
  <c r="AD97"/>
  <c r="AD98" s="1"/>
  <c r="AD106"/>
  <c r="AD107" s="1"/>
  <c r="Z100"/>
  <c r="Z101" s="1"/>
  <c r="Z94"/>
  <c r="Z95" s="1"/>
  <c r="Z103"/>
  <c r="Z104" s="1"/>
  <c r="AC97"/>
  <c r="AC98" s="1"/>
  <c r="R103"/>
  <c r="R104" s="1"/>
  <c r="R94"/>
  <c r="R95" s="1"/>
  <c r="R106"/>
  <c r="R107" s="1"/>
  <c r="T94"/>
  <c r="T95" s="1"/>
  <c r="N97"/>
  <c r="N98" s="1"/>
  <c r="AC94"/>
  <c r="AC95" s="1"/>
  <c r="R97"/>
  <c r="R98" s="1"/>
  <c r="AC100"/>
  <c r="AC101" s="1"/>
  <c r="AC106"/>
  <c r="AC107" s="1"/>
  <c r="T100"/>
  <c r="T101" s="1"/>
  <c r="N106"/>
  <c r="N107" s="1"/>
  <c r="T97"/>
  <c r="T98" s="1"/>
  <c r="N103"/>
  <c r="N104" s="1"/>
  <c r="N94"/>
  <c r="N95" s="1"/>
  <c r="I100"/>
  <c r="I101" s="1"/>
  <c r="I103"/>
  <c r="I104" s="1"/>
  <c r="G94"/>
  <c r="G95" s="1"/>
  <c r="G106"/>
  <c r="G107" s="1"/>
  <c r="Y103"/>
  <c r="Y104" s="1"/>
  <c r="Y106"/>
  <c r="Y107" s="1"/>
  <c r="Y94"/>
  <c r="Y95" s="1"/>
  <c r="AE103"/>
  <c r="AE104" s="1"/>
  <c r="H106"/>
  <c r="H107" s="1"/>
  <c r="H97"/>
  <c r="H98" s="1"/>
  <c r="V100"/>
  <c r="V101" s="1"/>
  <c r="G100"/>
  <c r="G101" s="1"/>
  <c r="V97"/>
  <c r="V98" s="1"/>
  <c r="H103"/>
  <c r="H104" s="1"/>
  <c r="G103"/>
  <c r="G104" s="1"/>
  <c r="H100"/>
  <c r="H101" s="1"/>
  <c r="V94"/>
  <c r="V95" s="1"/>
  <c r="T103"/>
  <c r="T104" s="1"/>
  <c r="AE100"/>
  <c r="AE101" s="1"/>
  <c r="K100"/>
  <c r="K101" s="1"/>
  <c r="L94"/>
  <c r="L95" s="1"/>
  <c r="V106"/>
  <c r="V107" s="1"/>
  <c r="L103"/>
  <c r="L104" s="1"/>
  <c r="L106"/>
  <c r="L107" s="1"/>
  <c r="L97"/>
  <c r="L98" s="1"/>
  <c r="AE94"/>
  <c r="AE95" s="1"/>
  <c r="K97"/>
  <c r="K98" s="1"/>
  <c r="AE97"/>
  <c r="AE98" s="1"/>
  <c r="K106"/>
  <c r="K107" s="1"/>
  <c r="K103"/>
  <c r="K104" s="1"/>
  <c r="M94"/>
  <c r="M95" s="1"/>
  <c r="M103"/>
  <c r="M104" s="1"/>
  <c r="M100"/>
  <c r="M101" s="1"/>
  <c r="M97"/>
  <c r="M98" s="1"/>
  <c r="M106"/>
  <c r="M107" s="1"/>
  <c r="X106"/>
  <c r="X107" s="1"/>
  <c r="X94"/>
  <c r="X95" s="1"/>
  <c r="X97"/>
  <c r="X98" s="1"/>
  <c r="X103"/>
  <c r="X104" s="1"/>
  <c r="X100"/>
  <c r="X101" s="1"/>
  <c r="AA100"/>
  <c r="AA101" s="1"/>
  <c r="AA106"/>
  <c r="AA107" s="1"/>
  <c r="AA94"/>
  <c r="AA95" s="1"/>
  <c r="AA97"/>
  <c r="AA98" s="1"/>
  <c r="AA103"/>
  <c r="AA104" s="1"/>
  <c r="AB103"/>
  <c r="AB104" s="1"/>
  <c r="AB94"/>
  <c r="AB95" s="1"/>
  <c r="AB100"/>
  <c r="AB101" s="1"/>
  <c r="AB106"/>
  <c r="AB107" s="1"/>
  <c r="AB97"/>
  <c r="AB98" s="1"/>
  <c r="J110" l="1"/>
  <c r="J111" s="1"/>
  <c r="H87" i="1" s="1"/>
  <c r="H98" s="1"/>
  <c r="O110" i="6"/>
  <c r="O111" s="1"/>
  <c r="M87" i="1" s="1"/>
  <c r="M98" s="1"/>
  <c r="S110" i="6"/>
  <c r="S111" s="1"/>
  <c r="Q87" i="1" s="1"/>
  <c r="Q98" s="1"/>
  <c r="W110" i="6"/>
  <c r="W111" s="1"/>
  <c r="U87" i="1" s="1"/>
  <c r="U98" s="1"/>
  <c r="Q110" i="6"/>
  <c r="Q111" s="1"/>
  <c r="O87" i="1" s="1"/>
  <c r="O98" s="1"/>
  <c r="U110" i="6"/>
  <c r="U111" s="1"/>
  <c r="S87" i="1" s="1"/>
  <c r="S98" s="1"/>
  <c r="P110" i="6"/>
  <c r="P111" s="1"/>
  <c r="N87" i="1" s="1"/>
  <c r="N98" s="1"/>
  <c r="AD110" i="6"/>
  <c r="AD111" s="1"/>
  <c r="AB87" i="1" s="1"/>
  <c r="AB98" s="1"/>
  <c r="Z110" i="6"/>
  <c r="Z111" s="1"/>
  <c r="X87" i="1" s="1"/>
  <c r="X98" s="1"/>
  <c r="N110" i="6"/>
  <c r="N111" s="1"/>
  <c r="L87" i="1" s="1"/>
  <c r="L98" s="1"/>
  <c r="AC110" i="6"/>
  <c r="AC111" s="1"/>
  <c r="AA87" i="1" s="1"/>
  <c r="AA98" s="1"/>
  <c r="R110" i="6"/>
  <c r="R111" s="1"/>
  <c r="P87" i="1" s="1"/>
  <c r="P98" s="1"/>
  <c r="G110" i="6"/>
  <c r="G111" s="1"/>
  <c r="E87" i="1" s="1"/>
  <c r="E98" s="1"/>
  <c r="E102" s="1"/>
  <c r="E101" s="1"/>
  <c r="H110" i="6"/>
  <c r="H111" s="1"/>
  <c r="F87" i="1" s="1"/>
  <c r="F98" s="1"/>
  <c r="T110" i="6"/>
  <c r="T111" s="1"/>
  <c r="R87" i="1" s="1"/>
  <c r="R98" s="1"/>
  <c r="V110" i="6"/>
  <c r="V111" s="1"/>
  <c r="T87" i="1" s="1"/>
  <c r="T98" s="1"/>
  <c r="Y110" i="6"/>
  <c r="Y111" s="1"/>
  <c r="W87" i="1" s="1"/>
  <c r="W98" s="1"/>
  <c r="I110" i="6"/>
  <c r="I111" s="1"/>
  <c r="G87" i="1" s="1"/>
  <c r="G98" s="1"/>
  <c r="L110" i="6"/>
  <c r="L111" s="1"/>
  <c r="J87" i="1" s="1"/>
  <c r="J98" s="1"/>
  <c r="K110" i="6"/>
  <c r="K111" s="1"/>
  <c r="I87" i="1" s="1"/>
  <c r="I98" s="1"/>
  <c r="AE110" i="6"/>
  <c r="AE111" s="1"/>
  <c r="AC87" i="1" s="1"/>
  <c r="AC98" s="1"/>
  <c r="M110" i="6"/>
  <c r="M111" s="1"/>
  <c r="K87" i="1" s="1"/>
  <c r="K98" s="1"/>
  <c r="X110" i="6"/>
  <c r="X111" s="1"/>
  <c r="V87" i="1" s="1"/>
  <c r="V98" s="1"/>
  <c r="AB110" i="6"/>
  <c r="AB111" s="1"/>
  <c r="Z87" i="1" s="1"/>
  <c r="Z98" s="1"/>
  <c r="AA110" i="6"/>
  <c r="AA111" s="1"/>
  <c r="Y87" i="1" s="1"/>
  <c r="Y98" s="1"/>
  <c r="F102" l="1"/>
  <c r="G102" l="1"/>
  <c r="G101" s="1"/>
  <c r="F101"/>
  <c r="G270" i="6"/>
  <c r="G114"/>
  <c r="H102" i="1" l="1"/>
  <c r="H101" s="1"/>
  <c r="H114" i="6"/>
  <c r="H270"/>
  <c r="I114" l="1"/>
  <c r="I270"/>
  <c r="I102" i="1"/>
  <c r="I101" s="1"/>
  <c r="J102" l="1"/>
  <c r="J101" s="1"/>
  <c r="J114" i="6"/>
  <c r="J270"/>
  <c r="K102" i="1" l="1"/>
  <c r="K101" s="1"/>
  <c r="K270" i="6"/>
  <c r="K114"/>
  <c r="L102" i="1" l="1"/>
  <c r="L101" s="1"/>
  <c r="L270" i="6"/>
  <c r="L114"/>
  <c r="M102" i="1" l="1"/>
  <c r="M101" s="1"/>
  <c r="M114" i="6"/>
  <c r="M270"/>
  <c r="N114" l="1"/>
  <c r="N270"/>
  <c r="N102" i="1"/>
  <c r="N101" s="1"/>
  <c r="O102" l="1"/>
  <c r="O101" s="1"/>
  <c r="O270" i="6"/>
  <c r="O114"/>
  <c r="P102" i="1" l="1"/>
  <c r="P101" s="1"/>
  <c r="P270" i="6"/>
  <c r="P114"/>
  <c r="Q270" l="1"/>
  <c r="Q102" i="1"/>
  <c r="Q101" s="1"/>
  <c r="Q114" i="6"/>
  <c r="R114" l="1"/>
  <c r="R102" i="1"/>
  <c r="R101" s="1"/>
  <c r="R270" i="6"/>
  <c r="S102" i="1" l="1"/>
  <c r="S101" s="1"/>
  <c r="S270" i="6"/>
  <c r="S114"/>
  <c r="T102" i="1" l="1"/>
  <c r="T101" s="1"/>
  <c r="T270" i="6"/>
  <c r="T114"/>
  <c r="U114" l="1"/>
  <c r="U270"/>
  <c r="U102" i="1"/>
  <c r="U101" s="1"/>
  <c r="V102" l="1"/>
  <c r="V101" s="1"/>
  <c r="V270" i="6"/>
  <c r="V114"/>
  <c r="W114" l="1"/>
  <c r="W102" i="1"/>
  <c r="W101" s="1"/>
  <c r="W270" i="6"/>
  <c r="X270" l="1"/>
  <c r="X114"/>
  <c r="X102" i="1"/>
  <c r="Y114" i="6" s="1"/>
  <c r="I53" i="1" l="1"/>
  <c r="Y270" i="6"/>
  <c r="Y102" i="1"/>
  <c r="Y101" s="1"/>
  <c r="X101"/>
  <c r="B206" i="6" s="1"/>
  <c r="C206" s="1"/>
  <c r="D206" s="1"/>
  <c r="I105" i="1" s="1"/>
  <c r="Z102" l="1"/>
  <c r="Z101" s="1"/>
  <c r="AA102" l="1"/>
  <c r="AA101" s="1"/>
  <c r="AB102" l="1"/>
  <c r="AB101" s="1"/>
  <c r="AC102" l="1"/>
  <c r="AC101" s="1"/>
  <c r="B207" i="6" s="1"/>
  <c r="C207" s="1"/>
  <c r="D207" s="1"/>
  <c r="O105" i="1" s="1"/>
  <c r="I54" l="1"/>
</calcChain>
</file>

<file path=xl/comments1.xml><?xml version="1.0" encoding="utf-8"?>
<comments xmlns="http://schemas.openxmlformats.org/spreadsheetml/2006/main">
  <authors>
    <author xml:space="preserve"> </author>
  </authors>
  <commentList>
    <comment ref="A11" authorId="0">
      <text>
        <r>
          <rPr>
            <sz val="8"/>
            <color indexed="81"/>
            <rFont val="Tahoma"/>
            <family val="2"/>
          </rPr>
          <t>angolo calcolato a partire da sud, positivo andando verso ovest</t>
        </r>
        <r>
          <rPr>
            <sz val="8"/>
            <color indexed="81"/>
            <rFont val="Tahoma"/>
            <family val="2"/>
          </rPr>
          <t xml:space="preserve">
</t>
        </r>
      </text>
    </comment>
  </commentList>
</comments>
</file>

<file path=xl/sharedStrings.xml><?xml version="1.0" encoding="utf-8"?>
<sst xmlns="http://schemas.openxmlformats.org/spreadsheetml/2006/main" count="2329" uniqueCount="279">
  <si>
    <t>Impianto su edificio</t>
  </si>
  <si>
    <t>Altri impianti</t>
  </si>
  <si>
    <t>Omni</t>
  </si>
  <si>
    <t>Auto</t>
  </si>
  <si>
    <t>Edificio</t>
  </si>
  <si>
    <t>Altro</t>
  </si>
  <si>
    <t>1-3</t>
  </si>
  <si>
    <t>3-20</t>
  </si>
  <si>
    <t>20-200</t>
  </si>
  <si>
    <t>200-1000</t>
  </si>
  <si>
    <t>1000-5000</t>
  </si>
  <si>
    <t>&lt;5000</t>
  </si>
  <si>
    <t>kW</t>
  </si>
  <si>
    <t>Semestre di applicazione</t>
  </si>
  <si>
    <t>Entrata in esercizio</t>
  </si>
  <si>
    <t>Dopo 31 dicembre 2014</t>
  </si>
  <si>
    <t>Entro 31 dicembre 2014</t>
  </si>
  <si>
    <t>Entro 31 dicembre 2013</t>
  </si>
  <si>
    <t>Tariffa premio</t>
  </si>
  <si>
    <t>Tariffa omnicomprensiva</t>
  </si>
  <si>
    <t>Tariffa autoconsumo</t>
  </si>
  <si>
    <t>Base</t>
  </si>
  <si>
    <t>Totale</t>
  </si>
  <si>
    <t>Premio</t>
  </si>
  <si>
    <t>kWh</t>
  </si>
  <si>
    <t>Clicca qua per la mappa di produttività</t>
  </si>
  <si>
    <t>Producibilità annua impianto</t>
  </si>
  <si>
    <t>Consumo annuo</t>
  </si>
  <si>
    <t>Autoconsumo</t>
  </si>
  <si>
    <t>Energia immessa in rete</t>
  </si>
  <si>
    <t>Energia acquistata dalla rete</t>
  </si>
  <si>
    <t>Costo dell'impianto (€/kW)</t>
  </si>
  <si>
    <t>€</t>
  </si>
  <si>
    <t>Costo acquisto energia (kWh)</t>
  </si>
  <si>
    <t>Produttività</t>
  </si>
  <si>
    <t>Altri oneri annui</t>
  </si>
  <si>
    <t>Immessa in rete</t>
  </si>
  <si>
    <t>Risparmio in bolletta</t>
  </si>
  <si>
    <t>Anno 1</t>
  </si>
  <si>
    <t>Manutenzione</t>
  </si>
  <si>
    <t>Anno 2</t>
  </si>
  <si>
    <t>Anno 3</t>
  </si>
  <si>
    <t>Anno 4</t>
  </si>
  <si>
    <t>Anno 5</t>
  </si>
  <si>
    <t>Anno 6</t>
  </si>
  <si>
    <t>Anno 7</t>
  </si>
  <si>
    <t>Anno 8</t>
  </si>
  <si>
    <t>Anno 9</t>
  </si>
  <si>
    <t>Anno 10</t>
  </si>
  <si>
    <t>Anno 11</t>
  </si>
  <si>
    <t>Anno 12</t>
  </si>
  <si>
    <t>Anno 13</t>
  </si>
  <si>
    <t>Anno 14</t>
  </si>
  <si>
    <t>Anno 15</t>
  </si>
  <si>
    <t>Anno 16</t>
  </si>
  <si>
    <t>Anno 17</t>
  </si>
  <si>
    <t>Anno 18</t>
  </si>
  <si>
    <t>Anno 19</t>
  </si>
  <si>
    <t>Anno 20</t>
  </si>
  <si>
    <t>%</t>
  </si>
  <si>
    <t>Aumento annuo costo energia</t>
  </si>
  <si>
    <t>kWh/kW</t>
  </si>
  <si>
    <t>Dati da inserire</t>
  </si>
  <si>
    <t>Calcoli automatici</t>
  </si>
  <si>
    <t>Autoconsumo 20%</t>
  </si>
  <si>
    <t>Autoconsumo 30%</t>
  </si>
  <si>
    <t>Autoconsumo 40%</t>
  </si>
  <si>
    <t>Autoconsumo 50%</t>
  </si>
  <si>
    <t>Autoconsumo 60%</t>
  </si>
  <si>
    <t>Autoconsumo 70%</t>
  </si>
  <si>
    <t>Autoconsumo 80%</t>
  </si>
  <si>
    <t>Autoconusmo 90%</t>
  </si>
  <si>
    <t>Autoconsumo 100%</t>
  </si>
  <si>
    <t>Autoconsumo 10%</t>
  </si>
  <si>
    <t>Utilizzo Energia</t>
  </si>
  <si>
    <t>Cessione Totale</t>
  </si>
  <si>
    <t>Leggere sulla bolletta (in cessione totale dato non utilizzato)</t>
  </si>
  <si>
    <t>Spese istruttoria GSE</t>
  </si>
  <si>
    <t>Spese gestione GSE</t>
  </si>
  <si>
    <t>Spese istruttoria</t>
  </si>
  <si>
    <t>Decadimento prestazioni pannelli</t>
  </si>
  <si>
    <t>Aumento annuo consumi energia</t>
  </si>
  <si>
    <t>Altri oneri una tantum</t>
  </si>
  <si>
    <t>Ammortamento annuo</t>
  </si>
  <si>
    <t>Ammortamento</t>
  </si>
  <si>
    <t>Costo impianto</t>
  </si>
  <si>
    <t>IRPEF</t>
  </si>
  <si>
    <t>IRAP</t>
  </si>
  <si>
    <t>Ammortamenti</t>
  </si>
  <si>
    <t>Impianto soggetto a imposte</t>
  </si>
  <si>
    <t>Aliquota IRAP</t>
  </si>
  <si>
    <t>NO</t>
  </si>
  <si>
    <t>Anno</t>
  </si>
  <si>
    <t>Aliquota IRPEF da 0 a 15.000 €</t>
  </si>
  <si>
    <t>Aliquota IRPEF da 15.001 a 28.000 €</t>
  </si>
  <si>
    <t>Aliquota IRPEF da 28.001 a 55.000 €</t>
  </si>
  <si>
    <t>Aliquota IRPEF da 55.001 a 75.000 €</t>
  </si>
  <si>
    <t>Aliquota IRPEF da 75.001 € a salire</t>
  </si>
  <si>
    <t>1° semestre 27-08-2012 / 27-02-2013</t>
  </si>
  <si>
    <t>2° Semestre 27-02-2013 / 27-08-2013</t>
  </si>
  <si>
    <t>3° semestre 27-08-2013 / 27-02-2014</t>
  </si>
  <si>
    <t>4° semestre 27-02-2014 / 27-08-2014</t>
  </si>
  <si>
    <t>5° semestre 27-08-2014 / 27-02-2015</t>
  </si>
  <si>
    <t>Consigliato 0,9% annuo</t>
  </si>
  <si>
    <t>Costo Totale Impianto</t>
  </si>
  <si>
    <t>Aliquota IRES</t>
  </si>
  <si>
    <t>Soggetto a IRES E IRAP (società)</t>
  </si>
  <si>
    <t>Soggetto a IRPEF E IRAP (persona fisica)</t>
  </si>
  <si>
    <t>Soggetto IRPEF (persona fisica)</t>
  </si>
  <si>
    <t>IRES</t>
  </si>
  <si>
    <t>Imponibile IRAP-IRES-IRPEF</t>
  </si>
  <si>
    <t>Tipo di Impianto</t>
  </si>
  <si>
    <t>Pergole, serre, tettoie, pensiline</t>
  </si>
  <si>
    <t>IMPIANTI TITOLO III</t>
  </si>
  <si>
    <t>PERGOLE SERRE TETTOIE PENSILINE</t>
  </si>
  <si>
    <t>1-20</t>
  </si>
  <si>
    <t>&gt;200</t>
  </si>
  <si>
    <t>Amministrazioni Pubbliche</t>
  </si>
  <si>
    <t>Irap</t>
  </si>
  <si>
    <t>Irpef</t>
  </si>
  <si>
    <t>Ires</t>
  </si>
  <si>
    <t>Nessuna</t>
  </si>
  <si>
    <t>Oneri connessione Enel</t>
  </si>
  <si>
    <t>Potenza già disponibile</t>
  </si>
  <si>
    <t>Potenza impianto fotovoltaico</t>
  </si>
  <si>
    <t>Allacciamento</t>
  </si>
  <si>
    <t>A) Oneri Enel allacciamento (stima)</t>
  </si>
  <si>
    <t>B) Altri costi una tantum</t>
  </si>
  <si>
    <t>Altri costi (A+B)</t>
  </si>
  <si>
    <t>Ricavo tariffa omnicomprensiva (GSE)</t>
  </si>
  <si>
    <t>Ricavo tariffa autoconsumo (GSE)</t>
  </si>
  <si>
    <t>Tasse</t>
  </si>
  <si>
    <t>Spese</t>
  </si>
  <si>
    <t>Risparmio (bolletta)</t>
  </si>
  <si>
    <t>Totale Entrate (ricavi + risparmio)</t>
  </si>
  <si>
    <t>Flusso di Cassa (entrate-uscite)</t>
  </si>
  <si>
    <t>Anno 21</t>
  </si>
  <si>
    <t>Anno 22</t>
  </si>
  <si>
    <t>Anno 23</t>
  </si>
  <si>
    <t>Anno 24</t>
  </si>
  <si>
    <t>Anno 25</t>
  </si>
  <si>
    <t>Flusso di cassa finale 20 anni</t>
  </si>
  <si>
    <t>Flusso di cassa finale 25 anni</t>
  </si>
  <si>
    <t>Ricavi Vendita Energia (€/kWh)</t>
  </si>
  <si>
    <t>Impianto NON in conto energia</t>
  </si>
  <si>
    <t>Scambio 1-20 anni</t>
  </si>
  <si>
    <t>Vendita 1-20 anni</t>
  </si>
  <si>
    <t>Vendita Energia</t>
  </si>
  <si>
    <t>Smaltiento Amianto, opere edili, autorizzazioni, etc</t>
  </si>
  <si>
    <t>Contributo conto scambio</t>
  </si>
  <si>
    <t>Liquidazione eccedenze scambio sul posto</t>
  </si>
  <si>
    <t>Azienda Agricola IRES+IRAP (se senza ammortamento)</t>
  </si>
  <si>
    <t>Anni da considerara per altri oneri</t>
  </si>
  <si>
    <t>C) Altri oneri annui</t>
  </si>
  <si>
    <t>anni</t>
  </si>
  <si>
    <t>autoconsumo</t>
  </si>
  <si>
    <t>Consumo annuo energia</t>
  </si>
  <si>
    <t>Link Utili</t>
  </si>
  <si>
    <t>La produttività degli impianti fotovoltaici</t>
  </si>
  <si>
    <t>Il calore fa male ai pannelli fotovoltaici</t>
  </si>
  <si>
    <t>Orientamento ottimale dei moduli, gli inseguitori</t>
  </si>
  <si>
    <t xml:space="preserve">Migliorare le prestazioni di un impianto </t>
  </si>
  <si>
    <t>Confrontare le tariffe energetiche</t>
  </si>
  <si>
    <t>Calcolare il rendimento di un pannello fotovoltaico</t>
  </si>
  <si>
    <t>produzione</t>
  </si>
  <si>
    <t>CALCOLI SCAMBIO SUL POSTO</t>
  </si>
  <si>
    <t>consumo annuo</t>
  </si>
  <si>
    <t>Contributo in conto scambio (kWh)</t>
  </si>
  <si>
    <t>Per calcolo vendita (dal 21° anno se impianto in conto energia)</t>
  </si>
  <si>
    <t>consumi residui</t>
  </si>
  <si>
    <t>eccedenze</t>
  </si>
  <si>
    <t>quota scambio</t>
  </si>
  <si>
    <t>Consigliato 3-6% annuo</t>
  </si>
  <si>
    <t>Costo finanziamento</t>
  </si>
  <si>
    <t xml:space="preserve">Finanziamento </t>
  </si>
  <si>
    <t>Importo da finanziare</t>
  </si>
  <si>
    <t>Durata finanziamento</t>
  </si>
  <si>
    <t>Tasso di interesse</t>
  </si>
  <si>
    <t>Totale Uscite (spese + tasse + finanziamenti)</t>
  </si>
  <si>
    <t>Interessi totali</t>
  </si>
  <si>
    <t>Importo del prestito semplice</t>
  </si>
  <si>
    <t>Immettere i valori</t>
  </si>
  <si>
    <t>Importo del prestito</t>
  </si>
  <si>
    <t>Tasso di interesse annuo</t>
  </si>
  <si>
    <t>Periodo del prestito in anni</t>
  </si>
  <si>
    <t>Data iniziale del prestito</t>
  </si>
  <si>
    <t>Pagamento mensile</t>
  </si>
  <si>
    <t>Numero di pagamenti</t>
  </si>
  <si>
    <t>Interesse totale</t>
  </si>
  <si>
    <t>Costo totale del prestito</t>
  </si>
  <si>
    <t>N.</t>
  </si>
  <si>
    <t>Data pagamento</t>
  </si>
  <si>
    <t>Saldo iniziale</t>
  </si>
  <si>
    <t>Pagamento</t>
  </si>
  <si>
    <t>Capitale</t>
  </si>
  <si>
    <t>Interesse</t>
  </si>
  <si>
    <t>Saldo finale</t>
  </si>
  <si>
    <t>SI</t>
  </si>
  <si>
    <t>Rata</t>
  </si>
  <si>
    <t>Manutenzione straordinaria</t>
  </si>
  <si>
    <t>Manutenzione ordinaria</t>
  </si>
  <si>
    <t>Manutenzione ordinaria annuale</t>
  </si>
  <si>
    <t>Periodo</t>
  </si>
  <si>
    <t>Ogni  5 anni</t>
  </si>
  <si>
    <t>Ogni 10 anni</t>
  </si>
  <si>
    <t>Ogni  3 anni</t>
  </si>
  <si>
    <t>Contributo Scambio Sul Posto</t>
  </si>
  <si>
    <t>Eccedenze  (per calcolo SSP se previsto)</t>
  </si>
  <si>
    <t>Clicca per dettagli finanziamento</t>
  </si>
  <si>
    <t>Totali</t>
  </si>
  <si>
    <t>Dato %</t>
  </si>
  <si>
    <t>% [kW]</t>
  </si>
  <si>
    <t xml:space="preserve">Distribuzione oraria percentuale della potenza prelevata dalla rete in un giorno tipico di uno specifico mese dell'anno </t>
  </si>
  <si>
    <t>Distribuzione statistica percentuale kWh giornalieri prodotti in un giorno tipico di uno specifico mese dell'anno - Sistema fisso</t>
  </si>
  <si>
    <t>ora del giorno</t>
  </si>
  <si>
    <t>gennaio</t>
  </si>
  <si>
    <t>febbraio</t>
  </si>
  <si>
    <t>marzo</t>
  </si>
  <si>
    <t xml:space="preserve">aprile </t>
  </si>
  <si>
    <t>maggio</t>
  </si>
  <si>
    <t>giugno</t>
  </si>
  <si>
    <t>luglio</t>
  </si>
  <si>
    <t>agosto</t>
  </si>
  <si>
    <t>settembre</t>
  </si>
  <si>
    <t>ottobre</t>
  </si>
  <si>
    <t>novembre</t>
  </si>
  <si>
    <t>dicembre</t>
  </si>
  <si>
    <t>Media % [kW]</t>
  </si>
  <si>
    <t>Controllo</t>
  </si>
  <si>
    <t>controllo</t>
  </si>
  <si>
    <t xml:space="preserve">Distribuzione kWh giornalieri consumati in un giorno tipico di uno specifico mese dell'anno </t>
  </si>
  <si>
    <t>Distribuzione kWh giornalieri prodotti in un giorno tipico di uno specifico mese dell'anno - Sistema fisso</t>
  </si>
  <si>
    <t>kWh/giorno</t>
  </si>
  <si>
    <t>Tot anno</t>
  </si>
  <si>
    <t>Tot mese</t>
  </si>
  <si>
    <t>Somma</t>
  </si>
  <si>
    <t xml:space="preserve">Quota Autoconsumata sulla produzione in un giorno tipico del mese </t>
  </si>
  <si>
    <t xml:space="preserve">Quota Immessa in rete sulla produzione in un giorno tipico del mese </t>
  </si>
  <si>
    <t>Consumi 1° anno</t>
  </si>
  <si>
    <t>Produzione</t>
  </si>
  <si>
    <t>Immissione in rete</t>
  </si>
  <si>
    <t>Prelievo dalla rete</t>
  </si>
  <si>
    <t>Consumi</t>
  </si>
  <si>
    <t>% Autoconsumo</t>
  </si>
  <si>
    <t>% Immesso in rete</t>
  </si>
  <si>
    <t>Consumi/Prelievo dalla Rete in un giorno medio del mese medio</t>
  </si>
  <si>
    <t>TOTALE</t>
  </si>
  <si>
    <t>PRIMO ANNO</t>
  </si>
  <si>
    <t>Consumo</t>
  </si>
  <si>
    <t>aprile</t>
  </si>
  <si>
    <t xml:space="preserve">novembre </t>
  </si>
  <si>
    <t>Autoconsumo (standard statistico)</t>
  </si>
  <si>
    <t>Verifica</t>
  </si>
  <si>
    <t>Produttivita</t>
  </si>
  <si>
    <t>Prod</t>
  </si>
  <si>
    <t>Esubero</t>
  </si>
  <si>
    <t>Eccedenze</t>
  </si>
  <si>
    <t>Importo annuale (12 rate)</t>
  </si>
  <si>
    <t>Per sbloccare il foglio di lavoro andare nel menu "revisione" e cliccare su "rimuivi protezione foglio). Per ripristinare la protezione cliccare su "proteggi foglio".</t>
  </si>
  <si>
    <t>Ricavi (GSE) / Detrazioni Fiscali</t>
  </si>
  <si>
    <t>Detrazioni Fiscali 50%</t>
  </si>
  <si>
    <t>Torna alla pagina dei calcoli</t>
  </si>
  <si>
    <t>Produttività (decadimento 0,9% annuo)</t>
  </si>
  <si>
    <t>Consumo in esubero (calcolo SSP se previsto)</t>
  </si>
  <si>
    <r>
      <rPr>
        <b/>
        <sz val="11"/>
        <color theme="1"/>
        <rFont val="Calibri"/>
        <family val="2"/>
        <scheme val="minor"/>
      </rPr>
      <t>Impianti Integrati</t>
    </r>
    <r>
      <rPr>
        <sz val="11"/>
        <color theme="1"/>
        <rFont val="Calibri"/>
        <family val="2"/>
        <scheme val="minor"/>
      </rPr>
      <t xml:space="preserve"> Titolo III su edifici</t>
    </r>
  </si>
  <si>
    <r>
      <rPr>
        <b/>
        <sz val="11"/>
        <color theme="1"/>
        <rFont val="Calibri"/>
        <family val="2"/>
        <scheme val="minor"/>
      </rPr>
      <t>Impianti Fotovoltaici</t>
    </r>
    <r>
      <rPr>
        <sz val="11"/>
        <color theme="1"/>
        <rFont val="Calibri"/>
        <family val="2"/>
        <scheme val="minor"/>
      </rPr>
      <t xml:space="preserve"> Titolo II su edificI</t>
    </r>
  </si>
  <si>
    <t>Eventuale riduzione tariffa 20% per esenzione registro</t>
  </si>
  <si>
    <t>Calcolo automatico autoconsumo</t>
  </si>
  <si>
    <t>Costo rimanente</t>
  </si>
  <si>
    <t/>
  </si>
  <si>
    <t>Tasso rendimento 20 anni</t>
  </si>
  <si>
    <t>Tasso rendimento 25 anni</t>
  </si>
  <si>
    <t>tir 20</t>
  </si>
  <si>
    <t>tir 25</t>
  </si>
  <si>
    <t>Forza autoconsumo automatico</t>
  </si>
  <si>
    <t>Per aumentare l'autoconsumo forzando il dato calcolato in automatico su prelievi standard nelle fasce orarie (massimo limitato a energia prodotta dal FV)</t>
  </si>
  <si>
    <t>In caso di autoconsumo, il programma calcola in automatico l'autoconsumo stimato in base alle fasce orarie e ai prelievi standard di una famiglia. Il foglio di calcolo permette il calcolo dell'autoconsumo in base alle proprie esigenze forzando il calcolo automatico. In questo caso per prevenire errori il foglio aumenta l'autoconsumo al massimo al valore dell'energia prodotta dall'impianto fotovoltaico. In caso di diminuzione eccessiva il calcolo non va in negativo.</t>
  </si>
  <si>
    <t>Flusso di Cassa progressivo</t>
  </si>
  <si>
    <t>PV-Xcel 10.1 -  Calcolo impianto fotovoltaico Quinto Conto Energia</t>
  </si>
</sst>
</file>

<file path=xl/styles.xml><?xml version="1.0" encoding="utf-8"?>
<styleSheet xmlns="http://schemas.openxmlformats.org/spreadsheetml/2006/main">
  <numFmts count="12">
    <numFmt numFmtId="43" formatCode="_-* #,##0.00_-;\-* #,##0.00_-;_-* &quot;-&quot;??_-;_-@_-"/>
    <numFmt numFmtId="164" formatCode="0.0"/>
    <numFmt numFmtId="165" formatCode="0.000"/>
    <numFmt numFmtId="166" formatCode="&quot;€&quot;\ #,##0"/>
    <numFmt numFmtId="167" formatCode="&quot;€&quot;\ #,##0.00"/>
    <numFmt numFmtId="168" formatCode="d/m/yy;@"/>
    <numFmt numFmtId="169" formatCode="0.0000"/>
    <numFmt numFmtId="170" formatCode="_-[$€-410]\ * #,##0.00_-;\-[$€-410]\ * #,##0.00_-;_-[$€-410]\ * &quot;-&quot;??_-;_-@_-"/>
    <numFmt numFmtId="171" formatCode="0.000%"/>
    <numFmt numFmtId="172" formatCode="d/m/yyyy;@"/>
    <numFmt numFmtId="173" formatCode="0.0%"/>
    <numFmt numFmtId="174" formatCode="&quot;€&quot;\ #,##0.000"/>
  </numFmts>
  <fonts count="35">
    <font>
      <sz val="11"/>
      <color theme="1"/>
      <name val="Calibri"/>
      <family val="2"/>
      <scheme val="minor"/>
    </font>
    <font>
      <sz val="12"/>
      <color theme="1"/>
      <name val="Calibri"/>
      <family val="2"/>
      <scheme val="minor"/>
    </font>
    <font>
      <sz val="8"/>
      <name val="Tahoma"/>
      <family val="2"/>
    </font>
    <font>
      <b/>
      <sz val="11"/>
      <color theme="1"/>
      <name val="Calibri"/>
      <family val="2"/>
      <scheme val="minor"/>
    </font>
    <font>
      <b/>
      <sz val="12"/>
      <color theme="1"/>
      <name val="Calibri"/>
      <family val="2"/>
      <scheme val="minor"/>
    </font>
    <font>
      <b/>
      <sz val="14"/>
      <color theme="1"/>
      <name val="Calibri"/>
      <family val="2"/>
      <scheme val="minor"/>
    </font>
    <font>
      <u/>
      <sz val="8.8000000000000007"/>
      <color theme="10"/>
      <name val="Calibri"/>
      <family val="2"/>
    </font>
    <font>
      <b/>
      <sz val="12"/>
      <name val="Calibri"/>
      <family val="2"/>
      <scheme val="minor"/>
    </font>
    <font>
      <b/>
      <u/>
      <sz val="14"/>
      <color rgb="FF0070C0"/>
      <name val="Calibri"/>
      <family val="2"/>
    </font>
    <font>
      <sz val="10"/>
      <color theme="1"/>
      <name val="Calibri"/>
      <family val="2"/>
      <scheme val="minor"/>
    </font>
    <font>
      <b/>
      <sz val="11"/>
      <name val="Calibri"/>
      <family val="2"/>
      <scheme val="minor"/>
    </font>
    <font>
      <b/>
      <u/>
      <sz val="14"/>
      <color theme="10"/>
      <name val="Calibri"/>
      <family val="2"/>
    </font>
    <font>
      <sz val="14"/>
      <color theme="1"/>
      <name val="Calibri"/>
      <family val="2"/>
      <scheme val="minor"/>
    </font>
    <font>
      <u/>
      <sz val="14"/>
      <color theme="10"/>
      <name val="Calibri"/>
      <family val="2"/>
    </font>
    <font>
      <sz val="10"/>
      <name val="Trebuchet MS"/>
      <family val="2"/>
    </font>
    <font>
      <sz val="16"/>
      <color indexed="8"/>
      <name val="Trebuchet MS"/>
      <family val="2"/>
    </font>
    <font>
      <sz val="14"/>
      <name val="Trebuchet MS"/>
      <family val="2"/>
    </font>
    <font>
      <sz val="9"/>
      <name val="Trebuchet MS"/>
      <family val="2"/>
    </font>
    <font>
      <sz val="9"/>
      <color indexed="8"/>
      <name val="Trebuchet MS"/>
      <family val="2"/>
    </font>
    <font>
      <sz val="9"/>
      <color indexed="63"/>
      <name val="Trebuchet MS"/>
      <family val="2"/>
    </font>
    <font>
      <sz val="9"/>
      <name val="Tahoma"/>
      <family val="2"/>
    </font>
    <font>
      <sz val="10"/>
      <name val="Tahoma"/>
      <family val="2"/>
    </font>
    <font>
      <b/>
      <u/>
      <sz val="11"/>
      <color theme="10"/>
      <name val="Calibri"/>
      <family val="2"/>
    </font>
    <font>
      <sz val="11"/>
      <color theme="1"/>
      <name val="Calibri"/>
      <family val="2"/>
      <scheme val="minor"/>
    </font>
    <font>
      <sz val="10"/>
      <name val="Arial"/>
      <family val="2"/>
    </font>
    <font>
      <sz val="8"/>
      <color indexed="81"/>
      <name val="Tahoma"/>
      <family val="2"/>
    </font>
    <font>
      <b/>
      <sz val="10"/>
      <name val="Arial"/>
      <family val="2"/>
    </font>
    <font>
      <sz val="11"/>
      <name val="Arial"/>
      <family val="2"/>
    </font>
    <font>
      <b/>
      <sz val="12"/>
      <name val="Arial"/>
      <family val="2"/>
    </font>
    <font>
      <b/>
      <sz val="9"/>
      <name val="Arial"/>
      <family val="2"/>
    </font>
    <font>
      <b/>
      <sz val="8.5"/>
      <name val="Arial"/>
      <family val="2"/>
    </font>
    <font>
      <sz val="9"/>
      <name val="Arial"/>
      <family val="2"/>
    </font>
    <font>
      <sz val="8"/>
      <name val="Arial"/>
      <family val="2"/>
    </font>
    <font>
      <b/>
      <sz val="18"/>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33CC33"/>
        <bgColor indexed="64"/>
      </patternFill>
    </fill>
    <fill>
      <patternFill patternType="solid">
        <fgColor rgb="FF99FF66"/>
        <bgColor indexed="64"/>
      </patternFill>
    </fill>
    <fill>
      <patternFill patternType="solid">
        <fgColor rgb="FFFF9900"/>
        <bgColor indexed="64"/>
      </patternFill>
    </fill>
    <fill>
      <patternFill patternType="solid">
        <fgColor rgb="FFB2B2B2"/>
        <bgColor indexed="64"/>
      </patternFill>
    </fill>
    <fill>
      <patternFill patternType="solid">
        <fgColor indexed="26"/>
        <bgColor indexed="64"/>
      </patternFill>
    </fill>
    <fill>
      <patternFill patternType="solid">
        <fgColor theme="0" tint="-0.249977111117893"/>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bottom style="hair">
        <color indexed="55"/>
      </bottom>
      <diagonal/>
    </border>
    <border>
      <left/>
      <right style="thin">
        <color indexed="9"/>
      </right>
      <top/>
      <bottom/>
      <diagonal/>
    </border>
    <border>
      <left style="thin">
        <color indexed="9"/>
      </left>
      <right/>
      <top/>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43" fontId="23" fillId="0" borderId="0" applyFont="0" applyFill="0" applyBorder="0" applyAlignment="0" applyProtection="0"/>
    <xf numFmtId="9" fontId="23" fillId="0" borderId="0" applyFont="0" applyFill="0" applyBorder="0" applyAlignment="0" applyProtection="0"/>
  </cellStyleXfs>
  <cellXfs count="561">
    <xf numFmtId="0" fontId="0" fillId="0" borderId="0" xfId="0"/>
    <xf numFmtId="0" fontId="5" fillId="0" borderId="0" xfId="0" applyFont="1" applyProtection="1"/>
    <xf numFmtId="0" fontId="0" fillId="0" borderId="0" xfId="0" applyBorder="1" applyProtection="1"/>
    <xf numFmtId="0" fontId="5" fillId="0" borderId="3" xfId="0" applyFont="1" applyBorder="1" applyProtection="1"/>
    <xf numFmtId="164" fontId="0" fillId="0" borderId="0" xfId="0" applyNumberFormat="1" applyBorder="1" applyProtection="1"/>
    <xf numFmtId="0" fontId="0" fillId="0" borderId="0" xfId="0" applyBorder="1" applyAlignment="1" applyProtection="1">
      <alignment horizontal="center"/>
    </xf>
    <xf numFmtId="0" fontId="0" fillId="0" borderId="0" xfId="0" applyProtection="1"/>
    <xf numFmtId="0" fontId="0" fillId="0" borderId="5" xfId="0" applyBorder="1" applyProtection="1"/>
    <xf numFmtId="0" fontId="1" fillId="0" borderId="9" xfId="0" applyFont="1" applyBorder="1" applyProtection="1"/>
    <xf numFmtId="0" fontId="1" fillId="0" borderId="10" xfId="0" applyFont="1" applyBorder="1" applyProtection="1"/>
    <xf numFmtId="0" fontId="1" fillId="0" borderId="11" xfId="0" applyFont="1" applyBorder="1" applyProtection="1"/>
    <xf numFmtId="0" fontId="1" fillId="0" borderId="0" xfId="0" applyFont="1" applyBorder="1" applyProtection="1"/>
    <xf numFmtId="164" fontId="1" fillId="0" borderId="0" xfId="0" applyNumberFormat="1" applyFont="1" applyFill="1" applyBorder="1" applyAlignment="1" applyProtection="1">
      <alignment horizontal="center"/>
    </xf>
    <xf numFmtId="0" fontId="1" fillId="0" borderId="1" xfId="0" applyFont="1" applyBorder="1" applyProtection="1"/>
    <xf numFmtId="0" fontId="1" fillId="0" borderId="2" xfId="0" applyFont="1" applyBorder="1" applyProtection="1"/>
    <xf numFmtId="0" fontId="0" fillId="0" borderId="2" xfId="0" applyBorder="1" applyProtection="1"/>
    <xf numFmtId="0" fontId="0" fillId="0" borderId="3" xfId="0" applyBorder="1" applyProtection="1"/>
    <xf numFmtId="0" fontId="0" fillId="0" borderId="0" xfId="0" applyFill="1" applyBorder="1" applyProtection="1"/>
    <xf numFmtId="0" fontId="0" fillId="0" borderId="0" xfId="0" applyFill="1" applyBorder="1" applyAlignment="1" applyProtection="1">
      <alignment horizontal="center"/>
    </xf>
    <xf numFmtId="0" fontId="0" fillId="0" borderId="7" xfId="0" applyBorder="1" applyProtection="1"/>
    <xf numFmtId="0" fontId="0" fillId="0" borderId="8" xfId="0" applyBorder="1" applyProtection="1"/>
    <xf numFmtId="0" fontId="0" fillId="0" borderId="0" xfId="0" applyAlignment="1" applyProtection="1"/>
    <xf numFmtId="0" fontId="0" fillId="0" borderId="4" xfId="0" applyBorder="1" applyProtection="1"/>
    <xf numFmtId="0" fontId="0" fillId="0" borderId="1" xfId="0" applyBorder="1" applyProtection="1"/>
    <xf numFmtId="0" fontId="1" fillId="0" borderId="4" xfId="0" applyFont="1" applyBorder="1" applyAlignment="1" applyProtection="1"/>
    <xf numFmtId="0" fontId="1" fillId="0" borderId="0" xfId="0" applyFont="1" applyBorder="1" applyAlignment="1" applyProtection="1"/>
    <xf numFmtId="0" fontId="0" fillId="0" borderId="5" xfId="0" applyBorder="1" applyAlignment="1" applyProtection="1">
      <alignment horizontal="center"/>
    </xf>
    <xf numFmtId="0" fontId="0" fillId="0" borderId="0" xfId="0" applyBorder="1" applyAlignment="1" applyProtection="1"/>
    <xf numFmtId="49" fontId="0" fillId="0" borderId="0" xfId="0" applyNumberFormat="1" applyBorder="1" applyAlignment="1" applyProtection="1">
      <alignment horizontal="center"/>
    </xf>
    <xf numFmtId="0" fontId="0" fillId="0" borderId="6" xfId="0" applyBorder="1" applyProtection="1"/>
    <xf numFmtId="49" fontId="0" fillId="0" borderId="7" xfId="0" applyNumberForma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3" fillId="0" borderId="0" xfId="0" applyFont="1" applyBorder="1" applyProtection="1"/>
    <xf numFmtId="0" fontId="3" fillId="0" borderId="0" xfId="0" applyFont="1" applyFill="1" applyBorder="1" applyAlignment="1" applyProtection="1">
      <alignment horizontal="center"/>
    </xf>
    <xf numFmtId="0" fontId="4" fillId="0" borderId="0" xfId="0" applyFont="1" applyBorder="1" applyAlignment="1" applyProtection="1">
      <alignment horizontal="left" vertical="center"/>
    </xf>
    <xf numFmtId="0" fontId="1" fillId="0" borderId="0" xfId="0" applyFont="1" applyAlignment="1" applyProtection="1">
      <alignment vertical="center"/>
    </xf>
    <xf numFmtId="0" fontId="1" fillId="0" borderId="0"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Protection="1"/>
    <xf numFmtId="0" fontId="1" fillId="0" borderId="0" xfId="0" applyFont="1" applyBorder="1" applyAlignment="1" applyProtection="1">
      <alignment horizontal="center"/>
    </xf>
    <xf numFmtId="0" fontId="1" fillId="0" borderId="5" xfId="0" applyFont="1" applyBorder="1" applyAlignment="1" applyProtection="1">
      <alignment horizontal="center"/>
    </xf>
    <xf numFmtId="0" fontId="1" fillId="0" borderId="0" xfId="0" applyFont="1" applyAlignment="1" applyProtection="1">
      <alignment horizontal="center"/>
    </xf>
    <xf numFmtId="0" fontId="4" fillId="0" borderId="0" xfId="0" applyFont="1" applyBorder="1" applyProtection="1"/>
    <xf numFmtId="0" fontId="4" fillId="0" borderId="13" xfId="0" applyFont="1" applyBorder="1" applyProtection="1"/>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0" borderId="0" xfId="0" applyFont="1" applyAlignment="1" applyProtection="1">
      <alignment horizontal="left"/>
    </xf>
    <xf numFmtId="0" fontId="9" fillId="0" borderId="0" xfId="0" applyFont="1" applyProtection="1"/>
    <xf numFmtId="164" fontId="1" fillId="2" borderId="10" xfId="0" applyNumberFormat="1" applyFont="1" applyFill="1" applyBorder="1" applyAlignment="1" applyProtection="1">
      <alignment horizontal="center"/>
      <protection locked="0"/>
    </xf>
    <xf numFmtId="0" fontId="4" fillId="0" borderId="0" xfId="0" applyFont="1" applyProtection="1"/>
    <xf numFmtId="0" fontId="0" fillId="0" borderId="0" xfId="0" applyFont="1" applyAlignment="1" applyProtection="1">
      <alignment horizontal="center"/>
    </xf>
    <xf numFmtId="166" fontId="0" fillId="0" borderId="0" xfId="0" applyNumberFormat="1" applyFont="1" applyAlignment="1" applyProtection="1">
      <alignment horizontal="center"/>
    </xf>
    <xf numFmtId="166" fontId="3" fillId="0" borderId="0" xfId="0" applyNumberFormat="1" applyFont="1" applyAlignment="1" applyProtection="1">
      <alignment horizontal="center"/>
    </xf>
    <xf numFmtId="166" fontId="10" fillId="0" borderId="12" xfId="0" applyNumberFormat="1" applyFont="1" applyBorder="1" applyAlignment="1" applyProtection="1">
      <alignment horizontal="center"/>
    </xf>
    <xf numFmtId="0" fontId="3" fillId="0" borderId="0" xfId="0" applyFont="1" applyProtection="1"/>
    <xf numFmtId="0" fontId="8" fillId="0" borderId="0" xfId="1" applyFont="1" applyBorder="1" applyAlignment="1" applyProtection="1"/>
    <xf numFmtId="0" fontId="1" fillId="3" borderId="0" xfId="0" applyFont="1" applyFill="1" applyBorder="1" applyProtection="1"/>
    <xf numFmtId="0" fontId="0" fillId="0" borderId="4" xfId="0" applyBorder="1" applyAlignment="1" applyProtection="1">
      <alignment horizontal="center"/>
    </xf>
    <xf numFmtId="0" fontId="0" fillId="0" borderId="0" xfId="0" applyAlignment="1" applyProtection="1">
      <alignment horizontal="center"/>
    </xf>
    <xf numFmtId="0" fontId="1" fillId="0" borderId="1" xfId="0" applyFont="1" applyBorder="1" applyAlignment="1" applyProtection="1">
      <alignment vertical="center"/>
    </xf>
    <xf numFmtId="49" fontId="1" fillId="0" borderId="2" xfId="0" applyNumberFormat="1"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1" fontId="1" fillId="0" borderId="0" xfId="0" applyNumberFormat="1" applyFont="1" applyProtection="1"/>
    <xf numFmtId="0" fontId="4" fillId="0" borderId="0" xfId="0" applyFont="1" applyBorder="1" applyAlignment="1" applyProtection="1"/>
    <xf numFmtId="0" fontId="0" fillId="0" borderId="0" xfId="0" applyAlignment="1" applyProtection="1">
      <alignment horizontal="center"/>
    </xf>
    <xf numFmtId="0" fontId="0" fillId="0" borderId="0" xfId="0" applyAlignment="1" applyProtection="1">
      <alignment horizontal="left"/>
    </xf>
    <xf numFmtId="0" fontId="0" fillId="0" borderId="1" xfId="0" applyFill="1" applyBorder="1" applyProtection="1"/>
    <xf numFmtId="0" fontId="0" fillId="0" borderId="2" xfId="0" applyFill="1" applyBorder="1" applyProtection="1"/>
    <xf numFmtId="0" fontId="0" fillId="0" borderId="2" xfId="0" applyFill="1" applyBorder="1" applyAlignment="1" applyProtection="1"/>
    <xf numFmtId="0" fontId="0" fillId="0" borderId="2" xfId="0" applyBorder="1" applyAlignment="1" applyProtection="1"/>
    <xf numFmtId="0" fontId="0" fillId="0" borderId="0" xfId="0" applyAlignment="1" applyProtection="1">
      <alignment horizontal="right"/>
    </xf>
    <xf numFmtId="0" fontId="0" fillId="0" borderId="4" xfId="0" applyFill="1" applyBorder="1" applyProtection="1"/>
    <xf numFmtId="0" fontId="3" fillId="0" borderId="0" xfId="0" applyFont="1" applyBorder="1" applyAlignment="1" applyProtection="1">
      <alignment horizontal="right"/>
    </xf>
    <xf numFmtId="1" fontId="0" fillId="0" borderId="0" xfId="0" applyNumberFormat="1" applyProtection="1"/>
    <xf numFmtId="1" fontId="0" fillId="0" borderId="0" xfId="0" applyNumberFormat="1" applyAlignment="1" applyProtection="1">
      <alignment horizontal="center"/>
    </xf>
    <xf numFmtId="0" fontId="3" fillId="2" borderId="0" xfId="0" applyFont="1" applyFill="1" applyBorder="1" applyAlignment="1" applyProtection="1">
      <alignment horizontal="right"/>
      <protection locked="0"/>
    </xf>
    <xf numFmtId="0" fontId="3" fillId="3" borderId="0" xfId="0" applyFont="1" applyFill="1" applyBorder="1" applyAlignment="1" applyProtection="1">
      <alignment horizontal="right"/>
    </xf>
    <xf numFmtId="0" fontId="1" fillId="0" borderId="0" xfId="0" applyFont="1" applyFill="1" applyBorder="1" applyProtection="1"/>
    <xf numFmtId="164" fontId="4" fillId="2" borderId="0" xfId="0" applyNumberFormat="1" applyFont="1" applyFill="1" applyBorder="1" applyAlignment="1" applyProtection="1">
      <alignment horizontal="right"/>
      <protection locked="0"/>
    </xf>
    <xf numFmtId="0" fontId="0" fillId="0" borderId="0" xfId="0" applyAlignment="1" applyProtection="1">
      <alignment horizontal="center"/>
    </xf>
    <xf numFmtId="0" fontId="0" fillId="0" borderId="1" xfId="0" applyBorder="1" applyAlignment="1" applyProtection="1">
      <alignment horizontal="center"/>
    </xf>
    <xf numFmtId="0" fontId="0" fillId="0" borderId="4" xfId="0" applyBorder="1" applyAlignment="1" applyProtection="1">
      <alignment horizontal="center"/>
    </xf>
    <xf numFmtId="0" fontId="3" fillId="3" borderId="1" xfId="0" applyFont="1" applyFill="1" applyBorder="1" applyAlignment="1" applyProtection="1">
      <alignment horizontal="center"/>
    </xf>
    <xf numFmtId="0" fontId="0" fillId="0" borderId="23" xfId="0" applyBorder="1" applyAlignment="1" applyProtection="1">
      <alignment horizontal="center"/>
    </xf>
    <xf numFmtId="164" fontId="4" fillId="2" borderId="10" xfId="0" applyNumberFormat="1" applyFont="1" applyFill="1" applyBorder="1" applyAlignment="1" applyProtection="1">
      <alignment horizontal="center"/>
      <protection locked="0"/>
    </xf>
    <xf numFmtId="168" fontId="0" fillId="0" borderId="0" xfId="0" applyNumberFormat="1" applyProtection="1"/>
    <xf numFmtId="0" fontId="3" fillId="2" borderId="12" xfId="0" applyFont="1" applyFill="1" applyBorder="1" applyAlignment="1" applyProtection="1">
      <alignment horizontal="right"/>
      <protection locked="0"/>
    </xf>
    <xf numFmtId="164" fontId="4" fillId="2"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9" fontId="4" fillId="0" borderId="0" xfId="0" applyNumberFormat="1" applyFont="1" applyFill="1" applyBorder="1" applyAlignment="1" applyProtection="1">
      <alignment vertical="center"/>
    </xf>
    <xf numFmtId="0" fontId="0" fillId="0" borderId="0" xfId="0" applyFont="1" applyBorder="1" applyAlignment="1" applyProtection="1">
      <alignment horizontal="right"/>
      <protection locked="0"/>
    </xf>
    <xf numFmtId="0" fontId="0" fillId="5" borderId="12" xfId="0" applyFill="1" applyBorder="1" applyProtection="1"/>
    <xf numFmtId="0" fontId="0" fillId="4" borderId="12" xfId="0" applyFill="1" applyBorder="1" applyProtection="1"/>
    <xf numFmtId="0" fontId="3" fillId="0" borderId="0" xfId="0" applyFont="1" applyFill="1" applyBorder="1" applyProtection="1"/>
    <xf numFmtId="0" fontId="0" fillId="6" borderId="12" xfId="0" applyFill="1" applyBorder="1" applyProtection="1"/>
    <xf numFmtId="0" fontId="0" fillId="7" borderId="12" xfId="0" applyFill="1" applyBorder="1" applyProtection="1"/>
    <xf numFmtId="167" fontId="4" fillId="3" borderId="0" xfId="0" applyNumberFormat="1" applyFont="1" applyFill="1" applyBorder="1" applyAlignment="1" applyProtection="1"/>
    <xf numFmtId="0" fontId="4" fillId="0" borderId="0" xfId="0" applyFont="1" applyFill="1" applyBorder="1" applyProtection="1"/>
    <xf numFmtId="0" fontId="4" fillId="3" borderId="1" xfId="0" applyFont="1" applyFill="1" applyBorder="1" applyProtection="1"/>
    <xf numFmtId="0" fontId="1" fillId="3" borderId="2" xfId="0" applyFont="1" applyFill="1" applyBorder="1" applyProtection="1"/>
    <xf numFmtId="167" fontId="4" fillId="3" borderId="2" xfId="0" applyNumberFormat="1" applyFont="1" applyFill="1" applyBorder="1" applyAlignment="1" applyProtection="1"/>
    <xf numFmtId="0" fontId="4" fillId="3" borderId="4" xfId="0" applyFont="1" applyFill="1" applyBorder="1" applyProtection="1"/>
    <xf numFmtId="0" fontId="4" fillId="3" borderId="7" xfId="0" applyFont="1" applyFill="1" applyBorder="1" applyProtection="1"/>
    <xf numFmtId="0" fontId="1" fillId="3" borderId="7" xfId="0" applyFont="1" applyFill="1" applyBorder="1" applyProtection="1"/>
    <xf numFmtId="0" fontId="1" fillId="3" borderId="6" xfId="0" applyFont="1" applyFill="1" applyBorder="1" applyProtection="1"/>
    <xf numFmtId="0" fontId="4" fillId="3" borderId="2" xfId="0" applyFont="1" applyFill="1" applyBorder="1" applyProtection="1"/>
    <xf numFmtId="0" fontId="4" fillId="3" borderId="6" xfId="0" applyFont="1" applyFill="1" applyBorder="1" applyProtection="1"/>
    <xf numFmtId="164" fontId="4" fillId="2" borderId="13" xfId="0" applyNumberFormat="1" applyFont="1" applyFill="1" applyBorder="1" applyAlignment="1" applyProtection="1">
      <alignment horizontal="center"/>
    </xf>
    <xf numFmtId="0" fontId="3" fillId="3" borderId="13" xfId="0" applyFont="1" applyFill="1" applyBorder="1" applyProtection="1"/>
    <xf numFmtId="2" fontId="0" fillId="0" borderId="0" xfId="0" applyNumberFormat="1" applyProtection="1"/>
    <xf numFmtId="0" fontId="0" fillId="0" borderId="0" xfId="0" applyAlignment="1" applyProtection="1">
      <alignment horizontal="center"/>
    </xf>
    <xf numFmtId="0" fontId="0" fillId="0" borderId="0" xfId="0" applyAlignment="1" applyProtection="1">
      <alignment horizontal="center"/>
    </xf>
    <xf numFmtId="0" fontId="0" fillId="0" borderId="0" xfId="0" applyAlignment="1" applyProtection="1">
      <alignment horizontal="center"/>
    </xf>
    <xf numFmtId="0" fontId="0" fillId="0" borderId="0" xfId="0" applyAlignment="1" applyProtection="1">
      <alignment horizontal="center"/>
    </xf>
    <xf numFmtId="165" fontId="0" fillId="0" borderId="0" xfId="0" applyNumberFormat="1" applyProtection="1"/>
    <xf numFmtId="165" fontId="0" fillId="0" borderId="0" xfId="0" applyNumberFormat="1" applyAlignment="1" applyProtection="1">
      <alignment horizontal="center"/>
    </xf>
    <xf numFmtId="0" fontId="5" fillId="0" borderId="1" xfId="0" applyFont="1" applyBorder="1" applyProtection="1"/>
    <xf numFmtId="0" fontId="12" fillId="0" borderId="4" xfId="0" applyFont="1" applyBorder="1" applyProtection="1"/>
    <xf numFmtId="0" fontId="12" fillId="0" borderId="0" xfId="0" applyFont="1" applyBorder="1" applyProtection="1"/>
    <xf numFmtId="0" fontId="12" fillId="0" borderId="5" xfId="0" applyFont="1" applyBorder="1" applyProtection="1"/>
    <xf numFmtId="0" fontId="0" fillId="0" borderId="0" xfId="0" applyAlignment="1" applyProtection="1">
      <alignment horizontal="center"/>
    </xf>
    <xf numFmtId="169" fontId="0" fillId="0" borderId="0" xfId="0" applyNumberFormat="1" applyProtection="1"/>
    <xf numFmtId="0" fontId="3" fillId="0" borderId="0" xfId="0" applyFont="1" applyFill="1" applyBorder="1" applyAlignment="1" applyProtection="1">
      <alignment horizontal="right"/>
      <protection locked="0"/>
    </xf>
    <xf numFmtId="0" fontId="4" fillId="0" borderId="0" xfId="0" applyFont="1" applyFill="1" applyBorder="1" applyAlignment="1" applyProtection="1">
      <alignment horizontal="left"/>
    </xf>
    <xf numFmtId="166" fontId="4" fillId="0" borderId="0" xfId="0" applyNumberFormat="1" applyFont="1" applyFill="1" applyBorder="1" applyAlignment="1" applyProtection="1">
      <alignment horizontal="right"/>
    </xf>
    <xf numFmtId="2" fontId="3" fillId="2" borderId="12" xfId="0" applyNumberFormat="1" applyFont="1" applyFill="1" applyBorder="1" applyAlignment="1" applyProtection="1">
      <alignment horizontal="right"/>
      <protection locked="0"/>
    </xf>
    <xf numFmtId="0" fontId="1" fillId="3" borderId="10" xfId="0" applyFont="1" applyFill="1" applyBorder="1" applyAlignment="1" applyProtection="1"/>
    <xf numFmtId="0" fontId="4" fillId="3" borderId="9" xfId="0" applyFont="1" applyFill="1" applyBorder="1" applyAlignment="1" applyProtection="1"/>
    <xf numFmtId="4" fontId="14" fillId="0" borderId="0" xfId="0" applyNumberFormat="1" applyFont="1"/>
    <xf numFmtId="4" fontId="15" fillId="0" borderId="28" xfId="0" applyNumberFormat="1" applyFont="1" applyBorder="1" applyAlignment="1">
      <alignment horizontal="left"/>
    </xf>
    <xf numFmtId="4" fontId="17" fillId="0" borderId="0" xfId="0" applyNumberFormat="1" applyFont="1"/>
    <xf numFmtId="4" fontId="18" fillId="0" borderId="0" xfId="0" applyNumberFormat="1" applyFont="1" applyAlignment="1">
      <alignment horizontal="left"/>
    </xf>
    <xf numFmtId="4" fontId="19" fillId="0" borderId="0" xfId="0" applyNumberFormat="1" applyFont="1" applyAlignment="1">
      <alignment horizontal="left" vertical="center"/>
    </xf>
    <xf numFmtId="4" fontId="17" fillId="0" borderId="0" xfId="0" applyNumberFormat="1" applyFont="1" applyAlignment="1">
      <alignment horizontal="center"/>
    </xf>
    <xf numFmtId="4" fontId="17" fillId="0" borderId="0" xfId="0" applyNumberFormat="1" applyFont="1" applyAlignment="1">
      <alignment horizontal="left"/>
    </xf>
    <xf numFmtId="4" fontId="17" fillId="0" borderId="0" xfId="0" applyNumberFormat="1" applyFont="1" applyAlignment="1">
      <alignment horizontal="right"/>
    </xf>
    <xf numFmtId="170" fontId="17" fillId="0" borderId="29" xfId="0" applyNumberFormat="1" applyFont="1" applyBorder="1" applyAlignment="1">
      <alignment horizontal="right"/>
    </xf>
    <xf numFmtId="4" fontId="17" fillId="0" borderId="0" xfId="0" applyNumberFormat="1" applyFont="1" applyAlignment="1"/>
    <xf numFmtId="171" fontId="17" fillId="0" borderId="30" xfId="0" applyNumberFormat="1" applyFont="1" applyBorder="1" applyAlignment="1">
      <alignment horizontal="right"/>
    </xf>
    <xf numFmtId="1" fontId="17" fillId="0" borderId="30" xfId="0" applyNumberFormat="1" applyFont="1" applyBorder="1" applyAlignment="1">
      <alignment horizontal="right"/>
    </xf>
    <xf numFmtId="14" fontId="17" fillId="0" borderId="30" xfId="0" applyNumberFormat="1" applyFont="1" applyBorder="1" applyAlignment="1">
      <alignment horizontal="right"/>
    </xf>
    <xf numFmtId="0" fontId="17" fillId="0" borderId="0" xfId="0" applyFont="1" applyAlignment="1">
      <alignment horizontal="right"/>
    </xf>
    <xf numFmtId="170" fontId="17" fillId="9" borderId="29" xfId="0" applyNumberFormat="1" applyFont="1" applyFill="1" applyBorder="1" applyAlignment="1">
      <alignment horizontal="right"/>
    </xf>
    <xf numFmtId="1" fontId="17" fillId="9" borderId="30" xfId="0" applyNumberFormat="1" applyFont="1" applyFill="1" applyBorder="1" applyAlignment="1">
      <alignment horizontal="right"/>
    </xf>
    <xf numFmtId="170" fontId="17" fillId="9" borderId="30" xfId="0" applyNumberFormat="1" applyFont="1" applyFill="1" applyBorder="1" applyAlignment="1">
      <alignment horizontal="right"/>
    </xf>
    <xf numFmtId="4" fontId="17" fillId="0" borderId="0" xfId="0" applyNumberFormat="1" applyFont="1" applyAlignment="1">
      <alignment wrapText="1"/>
    </xf>
    <xf numFmtId="4" fontId="17" fillId="0" borderId="28" xfId="0" applyNumberFormat="1" applyFont="1" applyBorder="1" applyAlignment="1">
      <alignment horizontal="left" wrapText="1"/>
    </xf>
    <xf numFmtId="4" fontId="17" fillId="0" borderId="28" xfId="0" applyNumberFormat="1" applyFont="1" applyBorder="1" applyAlignment="1">
      <alignment horizontal="right" wrapText="1" indent="1"/>
    </xf>
    <xf numFmtId="4" fontId="17" fillId="0" borderId="28" xfId="0" applyNumberFormat="1" applyFont="1" applyBorder="1" applyAlignment="1">
      <alignment horizontal="right" wrapText="1" indent="2"/>
    </xf>
    <xf numFmtId="1" fontId="17" fillId="0" borderId="0" xfId="0" applyNumberFormat="1" applyFont="1" applyAlignment="1">
      <alignment horizontal="right"/>
    </xf>
    <xf numFmtId="172" fontId="17" fillId="0" borderId="0" xfId="0" applyNumberFormat="1" applyFont="1" applyAlignment="1">
      <alignment horizontal="right"/>
    </xf>
    <xf numFmtId="170" fontId="17" fillId="0" borderId="0" xfId="0" applyNumberFormat="1" applyFont="1" applyAlignment="1">
      <alignment horizontal="right"/>
    </xf>
    <xf numFmtId="1" fontId="17" fillId="0" borderId="31" xfId="0" applyNumberFormat="1" applyFont="1" applyBorder="1" applyAlignment="1">
      <alignment horizontal="right"/>
    </xf>
    <xf numFmtId="170" fontId="17" fillId="0" borderId="32" xfId="0" applyNumberFormat="1" applyFont="1" applyBorder="1" applyAlignment="1">
      <alignment horizontal="right"/>
    </xf>
    <xf numFmtId="4" fontId="17" fillId="0" borderId="31" xfId="0" applyNumberFormat="1" applyFont="1" applyBorder="1" applyAlignment="1">
      <alignment horizontal="right"/>
    </xf>
    <xf numFmtId="4" fontId="17" fillId="0" borderId="33" xfId="0" applyNumberFormat="1" applyFont="1" applyBorder="1" applyAlignment="1">
      <alignment horizontal="right"/>
    </xf>
    <xf numFmtId="172" fontId="17" fillId="0" borderId="34" xfId="0" applyNumberFormat="1" applyFont="1" applyBorder="1" applyAlignment="1">
      <alignment horizontal="right"/>
    </xf>
    <xf numFmtId="170" fontId="17" fillId="0" borderId="34" xfId="0" applyNumberFormat="1" applyFont="1" applyBorder="1" applyAlignment="1">
      <alignment horizontal="right"/>
    </xf>
    <xf numFmtId="170" fontId="17" fillId="0" borderId="35" xfId="0" applyNumberFormat="1" applyFont="1" applyBorder="1" applyAlignment="1">
      <alignment horizontal="right"/>
    </xf>
    <xf numFmtId="172" fontId="17" fillId="0" borderId="0" xfId="0" applyNumberFormat="1" applyFont="1" applyAlignment="1">
      <alignment horizontal="center"/>
    </xf>
    <xf numFmtId="170" fontId="17" fillId="0" borderId="0" xfId="0" applyNumberFormat="1" applyFont="1" applyAlignment="1">
      <alignment horizontal="center"/>
    </xf>
    <xf numFmtId="4" fontId="20" fillId="0" borderId="0" xfId="0" applyNumberFormat="1" applyFont="1"/>
    <xf numFmtId="4" fontId="20" fillId="0" borderId="0" xfId="0" applyNumberFormat="1" applyFont="1" applyAlignment="1">
      <alignment horizontal="center"/>
    </xf>
    <xf numFmtId="172" fontId="20" fillId="0" borderId="0" xfId="0" applyNumberFormat="1" applyFont="1" applyAlignment="1">
      <alignment horizontal="center"/>
    </xf>
    <xf numFmtId="170" fontId="20" fillId="0" borderId="0" xfId="0" applyNumberFormat="1" applyFont="1" applyAlignment="1">
      <alignment horizontal="center"/>
    </xf>
    <xf numFmtId="0" fontId="21" fillId="0" borderId="0" xfId="0" applyFont="1"/>
    <xf numFmtId="0" fontId="21" fillId="0" borderId="0" xfId="0" applyFont="1" applyAlignment="1">
      <alignment horizontal="center"/>
    </xf>
    <xf numFmtId="172" fontId="21" fillId="0" borderId="0" xfId="0" applyNumberFormat="1" applyFont="1" applyAlignment="1">
      <alignment horizontal="center"/>
    </xf>
    <xf numFmtId="170" fontId="21" fillId="0" borderId="0" xfId="0" applyNumberFormat="1" applyFont="1" applyAlignment="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Alignment="1">
      <alignment horizontal="left"/>
    </xf>
    <xf numFmtId="170" fontId="0" fillId="0" borderId="0" xfId="0" applyNumberFormat="1"/>
    <xf numFmtId="0" fontId="0" fillId="0" borderId="0" xfId="0" applyAlignment="1" applyProtection="1">
      <alignment horizontal="center"/>
    </xf>
    <xf numFmtId="0" fontId="3" fillId="0" borderId="0" xfId="0" applyFont="1" applyAlignment="1" applyProtection="1">
      <alignment horizontal="center"/>
    </xf>
    <xf numFmtId="166" fontId="3" fillId="10" borderId="9" xfId="0" applyNumberFormat="1" applyFont="1" applyFill="1" applyBorder="1" applyAlignment="1" applyProtection="1">
      <alignment horizontal="center"/>
    </xf>
    <xf numFmtId="166" fontId="3" fillId="10" borderId="10" xfId="0" applyNumberFormat="1" applyFont="1" applyFill="1" applyBorder="1" applyAlignment="1" applyProtection="1">
      <alignment horizontal="center"/>
    </xf>
    <xf numFmtId="166" fontId="3" fillId="10" borderId="11" xfId="0" applyNumberFormat="1" applyFont="1" applyFill="1" applyBorder="1" applyAlignment="1" applyProtection="1">
      <alignment horizontal="center"/>
    </xf>
    <xf numFmtId="0" fontId="0" fillId="10" borderId="12" xfId="0" applyFill="1" applyBorder="1" applyProtection="1"/>
    <xf numFmtId="0" fontId="4" fillId="0" borderId="1" xfId="0" applyFont="1" applyBorder="1" applyProtection="1"/>
    <xf numFmtId="0" fontId="1" fillId="0" borderId="3" xfId="0" applyFont="1" applyBorder="1" applyProtection="1"/>
    <xf numFmtId="0" fontId="4" fillId="0" borderId="4" xfId="0" applyFont="1" applyBorder="1" applyProtection="1"/>
    <xf numFmtId="0" fontId="1" fillId="0" borderId="5" xfId="0" applyFont="1" applyBorder="1" applyProtection="1"/>
    <xf numFmtId="0" fontId="4" fillId="0" borderId="6" xfId="0" applyFont="1" applyBorder="1" applyProtection="1"/>
    <xf numFmtId="0" fontId="1" fillId="0" borderId="8" xfId="0" applyFont="1" applyBorder="1" applyProtection="1"/>
    <xf numFmtId="0" fontId="4" fillId="0" borderId="36" xfId="0" applyFont="1" applyBorder="1" applyProtection="1"/>
    <xf numFmtId="0" fontId="1" fillId="0" borderId="37" xfId="0" applyFont="1" applyBorder="1" applyProtection="1"/>
    <xf numFmtId="0" fontId="4" fillId="0" borderId="38" xfId="0" applyFont="1" applyBorder="1" applyProtection="1"/>
    <xf numFmtId="0" fontId="1" fillId="0" borderId="25" xfId="0" applyFont="1" applyBorder="1" applyProtection="1"/>
    <xf numFmtId="0" fontId="3" fillId="2" borderId="39" xfId="0" applyFont="1" applyFill="1" applyBorder="1" applyAlignment="1" applyProtection="1">
      <alignment horizontal="right"/>
      <protection locked="0"/>
    </xf>
    <xf numFmtId="0" fontId="3" fillId="2" borderId="40" xfId="0" applyFont="1" applyFill="1" applyBorder="1" applyAlignment="1" applyProtection="1">
      <alignment horizontal="right"/>
      <protection locked="0"/>
    </xf>
    <xf numFmtId="164" fontId="10" fillId="2" borderId="40" xfId="0" applyNumberFormat="1" applyFont="1" applyFill="1" applyBorder="1" applyAlignment="1" applyProtection="1">
      <alignment horizontal="right"/>
      <protection locked="0"/>
    </xf>
    <xf numFmtId="0" fontId="3" fillId="3" borderId="40" xfId="0" applyFont="1" applyFill="1" applyBorder="1" applyAlignment="1" applyProtection="1">
      <alignment horizontal="right"/>
    </xf>
    <xf numFmtId="1" fontId="3" fillId="3" borderId="40" xfId="0" applyNumberFormat="1" applyFont="1" applyFill="1" applyBorder="1" applyAlignment="1" applyProtection="1">
      <alignment horizontal="right"/>
    </xf>
    <xf numFmtId="165" fontId="10" fillId="2" borderId="40" xfId="0" applyNumberFormat="1" applyFont="1" applyFill="1" applyBorder="1" applyAlignment="1" applyProtection="1">
      <alignment horizontal="right"/>
      <protection locked="0"/>
    </xf>
    <xf numFmtId="164" fontId="10" fillId="2" borderId="41" xfId="0" applyNumberFormat="1" applyFont="1" applyFill="1" applyBorder="1" applyAlignment="1" applyProtection="1">
      <alignment horizontal="right"/>
      <protection locked="0"/>
    </xf>
    <xf numFmtId="0" fontId="24" fillId="0" borderId="0" xfId="0" applyFont="1" applyFill="1"/>
    <xf numFmtId="0" fontId="24" fillId="0" borderId="13" xfId="0" applyFont="1" applyFill="1" applyBorder="1"/>
    <xf numFmtId="0" fontId="24" fillId="0" borderId="0" xfId="0" applyFont="1" applyFill="1" applyProtection="1">
      <protection locked="0"/>
    </xf>
    <xf numFmtId="167" fontId="24" fillId="0" borderId="0" xfId="0" applyNumberFormat="1" applyFont="1" applyFill="1" applyProtection="1">
      <protection locked="0"/>
    </xf>
    <xf numFmtId="17" fontId="24" fillId="0" borderId="0" xfId="0" applyNumberFormat="1" applyFont="1" applyFill="1" applyProtection="1">
      <protection locked="0"/>
    </xf>
    <xf numFmtId="10" fontId="24" fillId="0" borderId="0" xfId="0" applyNumberFormat="1" applyFont="1" applyFill="1" applyProtection="1">
      <protection locked="0"/>
    </xf>
    <xf numFmtId="0" fontId="24" fillId="0" borderId="13" xfId="0" applyFont="1" applyFill="1" applyBorder="1" applyAlignment="1" applyProtection="1">
      <alignment horizontal="center"/>
      <protection locked="0"/>
    </xf>
    <xf numFmtId="0" fontId="24" fillId="0" borderId="0" xfId="0" applyFont="1" applyFill="1" applyBorder="1" applyAlignment="1" applyProtection="1">
      <alignment horizontal="right"/>
      <protection locked="0"/>
    </xf>
    <xf numFmtId="0" fontId="24" fillId="0" borderId="0" xfId="0" applyFont="1" applyFill="1" applyBorder="1" applyProtection="1">
      <protection locked="0"/>
    </xf>
    <xf numFmtId="164" fontId="26" fillId="0" borderId="0" xfId="0" applyNumberFormat="1" applyFont="1" applyFill="1" applyBorder="1" applyProtection="1">
      <protection locked="0"/>
    </xf>
    <xf numFmtId="0" fontId="26" fillId="0" borderId="13" xfId="0" applyFont="1" applyFill="1" applyBorder="1" applyAlignment="1" applyProtection="1">
      <alignment horizontal="center" vertical="center"/>
      <protection locked="0"/>
    </xf>
    <xf numFmtId="2" fontId="24" fillId="0" borderId="0" xfId="0" applyNumberFormat="1" applyFont="1" applyFill="1" applyBorder="1" applyProtection="1">
      <protection locked="0"/>
    </xf>
    <xf numFmtId="2" fontId="24" fillId="0" borderId="13" xfId="0" applyNumberFormat="1" applyFont="1" applyFill="1" applyBorder="1" applyAlignment="1" applyProtection="1">
      <alignment horizontal="center"/>
      <protection locked="0"/>
    </xf>
    <xf numFmtId="0" fontId="26" fillId="0" borderId="47"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26" fillId="0" borderId="4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9" fillId="0" borderId="45" xfId="0" applyFont="1" applyFill="1" applyBorder="1" applyAlignment="1" applyProtection="1">
      <alignment horizontal="center" vertical="center"/>
      <protection locked="0"/>
    </xf>
    <xf numFmtId="0" fontId="29" fillId="0" borderId="24"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29" fillId="0" borderId="16" xfId="0" applyFont="1" applyFill="1" applyBorder="1" applyAlignment="1" applyProtection="1">
      <alignment vertical="center"/>
      <protection locked="0"/>
    </xf>
    <xf numFmtId="0" fontId="29" fillId="0" borderId="5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2" fontId="29" fillId="0" borderId="13" xfId="0" applyNumberFormat="1" applyFont="1" applyFill="1" applyBorder="1" applyAlignment="1" applyProtection="1">
      <alignment horizontal="center" vertical="center" wrapText="1"/>
      <protection locked="0"/>
    </xf>
    <xf numFmtId="2" fontId="29" fillId="0" borderId="46" xfId="0" applyNumberFormat="1"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2" fontId="29" fillId="0" borderId="13" xfId="0" applyNumberFormat="1" applyFont="1" applyFill="1" applyBorder="1" applyAlignment="1" applyProtection="1">
      <alignment horizontal="center" wrapText="1"/>
      <protection locked="0"/>
    </xf>
    <xf numFmtId="2" fontId="29" fillId="0" borderId="13" xfId="0" applyNumberFormat="1" applyFont="1" applyFill="1" applyBorder="1" applyAlignment="1" applyProtection="1">
      <alignment horizontal="center" vertical="center"/>
      <protection locked="0"/>
    </xf>
    <xf numFmtId="2" fontId="29" fillId="0" borderId="42" xfId="0" applyNumberFormat="1" applyFont="1" applyFill="1" applyBorder="1" applyAlignment="1" applyProtection="1">
      <alignment horizontal="center" vertical="center"/>
      <protection locked="0"/>
    </xf>
    <xf numFmtId="171" fontId="31" fillId="0" borderId="12" xfId="0" applyNumberFormat="1" applyFont="1" applyFill="1" applyBorder="1" applyAlignment="1" applyProtection="1">
      <alignment horizontal="center" vertical="center"/>
      <protection locked="0"/>
    </xf>
    <xf numFmtId="171" fontId="31" fillId="0" borderId="52" xfId="0" applyNumberFormat="1" applyFont="1" applyFill="1" applyBorder="1" applyAlignment="1" applyProtection="1">
      <alignment horizontal="center" vertical="center"/>
      <protection locked="0"/>
    </xf>
    <xf numFmtId="171" fontId="31" fillId="0" borderId="0" xfId="0" applyNumberFormat="1" applyFont="1" applyFill="1" applyBorder="1" applyAlignment="1" applyProtection="1">
      <alignment horizontal="center" vertical="center"/>
      <protection locked="0"/>
    </xf>
    <xf numFmtId="2" fontId="29" fillId="0" borderId="13" xfId="0" applyNumberFormat="1" applyFont="1" applyFill="1" applyBorder="1" applyAlignment="1" applyProtection="1">
      <alignment horizontal="center"/>
      <protection locked="0"/>
    </xf>
    <xf numFmtId="10" fontId="24" fillId="0" borderId="13" xfId="0" applyNumberFormat="1" applyFont="1" applyFill="1" applyBorder="1" applyAlignment="1" applyProtection="1">
      <alignment horizontal="center"/>
      <protection locked="0"/>
    </xf>
    <xf numFmtId="0" fontId="26" fillId="0" borderId="0" xfId="0" applyFont="1" applyFill="1" applyBorder="1" applyProtection="1">
      <protection locked="0"/>
    </xf>
    <xf numFmtId="2" fontId="26" fillId="0" borderId="0" xfId="0" applyNumberFormat="1" applyFont="1" applyFill="1" applyBorder="1" applyProtection="1">
      <protection locked="0"/>
    </xf>
    <xf numFmtId="173" fontId="24" fillId="0" borderId="0" xfId="3" applyNumberFormat="1" applyFont="1" applyFill="1" applyBorder="1" applyProtection="1">
      <protection locked="0"/>
    </xf>
    <xf numFmtId="2" fontId="29" fillId="0" borderId="22" xfId="0" applyNumberFormat="1" applyFont="1" applyFill="1" applyBorder="1" applyAlignment="1" applyProtection="1">
      <alignment horizontal="center" vertical="center"/>
      <protection locked="0"/>
    </xf>
    <xf numFmtId="171" fontId="32" fillId="0" borderId="45" xfId="0" applyNumberFormat="1" applyFont="1" applyFill="1" applyBorder="1" applyAlignment="1" applyProtection="1">
      <alignment horizontal="center" vertical="center"/>
      <protection locked="0"/>
    </xf>
    <xf numFmtId="171" fontId="32" fillId="0" borderId="51" xfId="0" applyNumberFormat="1" applyFont="1" applyFill="1" applyBorder="1" applyAlignment="1" applyProtection="1">
      <alignment horizontal="center" vertical="center"/>
      <protection locked="0"/>
    </xf>
    <xf numFmtId="171" fontId="32" fillId="0" borderId="0" xfId="0" applyNumberFormat="1" applyFont="1" applyFill="1" applyBorder="1" applyAlignment="1" applyProtection="1">
      <alignment horizontal="center" vertical="center"/>
      <protection locked="0"/>
    </xf>
    <xf numFmtId="2" fontId="29" fillId="0" borderId="0" xfId="0" applyNumberFormat="1" applyFont="1" applyFill="1" applyBorder="1" applyAlignment="1" applyProtection="1">
      <alignment horizontal="center"/>
      <protection locked="0"/>
    </xf>
    <xf numFmtId="2" fontId="29" fillId="0" borderId="51" xfId="0" applyNumberFormat="1" applyFont="1" applyFill="1" applyBorder="1" applyAlignment="1" applyProtection="1">
      <alignment horizontal="center" vertical="center"/>
      <protection locked="0"/>
    </xf>
    <xf numFmtId="2" fontId="29" fillId="0" borderId="0" xfId="0" applyNumberFormat="1" applyFont="1" applyFill="1" applyBorder="1" applyAlignment="1" applyProtection="1">
      <alignment horizontal="center" vertical="center"/>
      <protection locked="0"/>
    </xf>
    <xf numFmtId="0" fontId="31" fillId="0" borderId="53" xfId="0" applyFont="1" applyFill="1" applyBorder="1" applyAlignment="1" applyProtection="1">
      <alignment horizontal="center"/>
      <protection locked="0"/>
    </xf>
    <xf numFmtId="10" fontId="31" fillId="0" borderId="53" xfId="0" applyNumberFormat="1" applyFont="1" applyFill="1" applyBorder="1" applyAlignment="1" applyProtection="1">
      <alignment horizontal="center"/>
      <protection locked="0"/>
    </xf>
    <xf numFmtId="0" fontId="24" fillId="0" borderId="0" xfId="0" applyFont="1" applyFill="1" applyBorder="1"/>
    <xf numFmtId="0" fontId="26" fillId="0" borderId="13" xfId="0" applyFont="1" applyFill="1" applyBorder="1" applyAlignment="1" applyProtection="1">
      <alignment horizontal="right"/>
      <protection locked="0"/>
    </xf>
    <xf numFmtId="4" fontId="24" fillId="0" borderId="0" xfId="0" applyNumberFormat="1" applyFont="1" applyFill="1" applyBorder="1" applyAlignment="1" applyProtection="1">
      <alignment horizontal="center"/>
      <protection locked="0"/>
    </xf>
    <xf numFmtId="0" fontId="24" fillId="0" borderId="0" xfId="0" applyFont="1" applyFill="1" applyAlignment="1" applyProtection="1">
      <alignment horizontal="center"/>
      <protection locked="0"/>
    </xf>
    <xf numFmtId="4" fontId="24" fillId="0" borderId="13" xfId="0" applyNumberFormat="1" applyFont="1" applyFill="1" applyBorder="1" applyAlignment="1" applyProtection="1">
      <alignment horizontal="center" vertical="center"/>
      <protection locked="0"/>
    </xf>
    <xf numFmtId="4" fontId="26" fillId="0" borderId="13" xfId="0" applyNumberFormat="1" applyFont="1" applyFill="1" applyBorder="1" applyAlignment="1" applyProtection="1">
      <alignment horizontal="center" vertical="center"/>
      <protection locked="0"/>
    </xf>
    <xf numFmtId="4" fontId="24" fillId="0" borderId="0" xfId="0" applyNumberFormat="1" applyFont="1" applyFill="1" applyBorder="1" applyAlignment="1" applyProtection="1">
      <alignment horizontal="center" vertical="center"/>
      <protection locked="0"/>
    </xf>
    <xf numFmtId="4" fontId="31" fillId="0" borderId="53" xfId="0" applyNumberFormat="1" applyFont="1" applyFill="1" applyBorder="1" applyAlignment="1" applyProtection="1">
      <alignment horizontal="center"/>
      <protection locked="0"/>
    </xf>
    <xf numFmtId="0" fontId="29" fillId="0" borderId="0" xfId="0" applyFont="1" applyFill="1" applyBorder="1" applyAlignment="1" applyProtection="1">
      <alignment horizontal="center" vertical="center"/>
      <protection locked="0"/>
    </xf>
    <xf numFmtId="2" fontId="26" fillId="0" borderId="13" xfId="0" applyNumberFormat="1"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wrapText="1"/>
      <protection locked="0"/>
    </xf>
    <xf numFmtId="4" fontId="24" fillId="0" borderId="13" xfId="0" applyNumberFormat="1" applyFont="1" applyFill="1" applyBorder="1" applyAlignment="1" applyProtection="1">
      <alignment horizontal="center"/>
      <protection locked="0"/>
    </xf>
    <xf numFmtId="2" fontId="29" fillId="0" borderId="23" xfId="0" applyNumberFormat="1" applyFont="1" applyFill="1" applyBorder="1" applyAlignment="1" applyProtection="1">
      <alignment horizontal="center" vertical="center"/>
      <protection locked="0"/>
    </xf>
    <xf numFmtId="0" fontId="26" fillId="0" borderId="43" xfId="0" applyFont="1" applyFill="1" applyBorder="1" applyAlignment="1">
      <alignment horizontal="center" vertical="center"/>
    </xf>
    <xf numFmtId="4" fontId="26" fillId="0" borderId="46" xfId="0" applyNumberFormat="1" applyFont="1" applyFill="1" applyBorder="1" applyAlignment="1" applyProtection="1">
      <alignment horizontal="center" vertical="center"/>
      <protection locked="0"/>
    </xf>
    <xf numFmtId="4" fontId="32" fillId="0" borderId="0" xfId="0" applyNumberFormat="1" applyFont="1" applyFill="1" applyBorder="1" applyAlignment="1" applyProtection="1">
      <alignment horizontal="center" vertical="center"/>
      <protection locked="0"/>
    </xf>
    <xf numFmtId="4" fontId="24" fillId="0" borderId="43" xfId="0" applyNumberFormat="1" applyFont="1" applyFill="1" applyBorder="1" applyAlignment="1">
      <alignment horizontal="center" vertical="center"/>
    </xf>
    <xf numFmtId="10" fontId="24" fillId="0" borderId="13" xfId="0" applyNumberFormat="1" applyFont="1" applyFill="1" applyBorder="1" applyProtection="1">
      <protection locked="0"/>
    </xf>
    <xf numFmtId="0" fontId="24" fillId="0" borderId="13" xfId="0" applyFont="1" applyFill="1" applyBorder="1" applyAlignment="1" applyProtection="1">
      <alignment horizontal="center" vertical="center"/>
      <protection locked="0"/>
    </xf>
    <xf numFmtId="4" fontId="26" fillId="0" borderId="13" xfId="0" applyNumberFormat="1" applyFont="1" applyFill="1" applyBorder="1" applyAlignment="1" applyProtection="1">
      <alignment horizontal="center"/>
      <protection locked="0"/>
    </xf>
    <xf numFmtId="4" fontId="24" fillId="0" borderId="46" xfId="0" applyNumberFormat="1" applyFont="1" applyFill="1" applyBorder="1" applyAlignment="1" applyProtection="1">
      <alignment horizontal="center" vertical="center"/>
      <protection locked="0"/>
    </xf>
    <xf numFmtId="4" fontId="26" fillId="0" borderId="19" xfId="0" applyNumberFormat="1"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4" fontId="26" fillId="0" borderId="20" xfId="0" applyNumberFormat="1" applyFont="1" applyFill="1" applyBorder="1" applyAlignment="1" applyProtection="1">
      <alignment horizontal="center" vertical="center"/>
      <protection locked="0"/>
    </xf>
    <xf numFmtId="4" fontId="26" fillId="0" borderId="21" xfId="0" applyNumberFormat="1" applyFont="1" applyFill="1" applyBorder="1" applyAlignment="1" applyProtection="1">
      <alignment horizontal="center" vertical="center"/>
      <protection locked="0"/>
    </xf>
    <xf numFmtId="4" fontId="26" fillId="0" borderId="43" xfId="0" applyNumberFormat="1" applyFont="1" applyFill="1" applyBorder="1" applyAlignment="1" applyProtection="1">
      <alignment horizontal="center" vertical="center"/>
      <protection locked="0"/>
    </xf>
    <xf numFmtId="4" fontId="32" fillId="0" borderId="0" xfId="0" applyNumberFormat="1" applyFont="1" applyFill="1" applyBorder="1" applyAlignment="1" applyProtection="1">
      <alignment horizontal="center"/>
      <protection locked="0"/>
    </xf>
    <xf numFmtId="0" fontId="26"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protection locked="0"/>
    </xf>
    <xf numFmtId="165" fontId="24" fillId="0" borderId="0"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2" fontId="27" fillId="0" borderId="0" xfId="0" applyNumberFormat="1" applyFont="1" applyFill="1" applyBorder="1" applyProtection="1">
      <protection locked="0"/>
    </xf>
    <xf numFmtId="0" fontId="27" fillId="0" borderId="0" xfId="0" applyFont="1" applyFill="1" applyBorder="1" applyAlignment="1" applyProtection="1">
      <alignment horizontal="right"/>
      <protection locked="0"/>
    </xf>
    <xf numFmtId="164" fontId="26" fillId="0" borderId="0" xfId="0" applyNumberFormat="1" applyFont="1" applyFill="1" applyBorder="1" applyAlignment="1" applyProtection="1">
      <alignment horizontal="center"/>
      <protection locked="0"/>
    </xf>
    <xf numFmtId="10" fontId="26" fillId="0" borderId="0" xfId="3" applyNumberFormat="1" applyFont="1" applyFill="1" applyBorder="1" applyAlignment="1" applyProtection="1">
      <alignment horizontal="center"/>
      <protection locked="0"/>
    </xf>
    <xf numFmtId="2" fontId="24" fillId="0" borderId="0" xfId="0" applyNumberFormat="1" applyFont="1" applyFill="1" applyBorder="1" applyAlignment="1" applyProtection="1">
      <alignment horizontal="center"/>
      <protection locked="0"/>
    </xf>
    <xf numFmtId="2" fontId="28" fillId="0" borderId="0" xfId="0" applyNumberFormat="1" applyFont="1" applyFill="1" applyBorder="1" applyProtection="1">
      <protection locked="0"/>
    </xf>
    <xf numFmtId="43" fontId="24" fillId="0" borderId="0" xfId="2" applyFont="1" applyFill="1" applyBorder="1" applyProtection="1">
      <protection locked="0"/>
    </xf>
    <xf numFmtId="164" fontId="24" fillId="0" borderId="0" xfId="0" applyNumberFormat="1" applyFont="1" applyFill="1" applyBorder="1" applyProtection="1">
      <protection locked="0"/>
    </xf>
    <xf numFmtId="167" fontId="24" fillId="0" borderId="0" xfId="0" applyNumberFormat="1" applyFont="1" applyFill="1" applyBorder="1" applyAlignment="1" applyProtection="1">
      <alignment horizontal="left"/>
      <protection locked="0"/>
    </xf>
    <xf numFmtId="165" fontId="31" fillId="0" borderId="0" xfId="0" applyNumberFormat="1" applyFont="1" applyFill="1" applyBorder="1" applyAlignment="1" applyProtection="1">
      <alignment horizontal="center" vertical="center"/>
      <protection locked="0"/>
    </xf>
    <xf numFmtId="0" fontId="24" fillId="0" borderId="1" xfId="0" applyFont="1" applyFill="1" applyBorder="1" applyProtection="1">
      <protection locked="0"/>
    </xf>
    <xf numFmtId="0" fontId="24" fillId="0" borderId="2" xfId="0" applyFont="1" applyFill="1" applyBorder="1" applyProtection="1">
      <protection locked="0"/>
    </xf>
    <xf numFmtId="0" fontId="24" fillId="0" borderId="3" xfId="0" applyFont="1" applyFill="1" applyBorder="1" applyProtection="1">
      <protection locked="0"/>
    </xf>
    <xf numFmtId="0" fontId="24" fillId="0" borderId="4" xfId="0" applyFont="1" applyFill="1" applyBorder="1" applyProtection="1">
      <protection locked="0"/>
    </xf>
    <xf numFmtId="0" fontId="24" fillId="0" borderId="5" xfId="0" applyFont="1" applyFill="1" applyBorder="1" applyProtection="1">
      <protection locked="0"/>
    </xf>
    <xf numFmtId="0" fontId="24" fillId="0" borderId="6" xfId="0" applyFont="1" applyFill="1" applyBorder="1" applyProtection="1">
      <protection locked="0"/>
    </xf>
    <xf numFmtId="0" fontId="24" fillId="0" borderId="6" xfId="0" applyFont="1" applyFill="1" applyBorder="1"/>
    <xf numFmtId="0" fontId="24" fillId="0" borderId="7" xfId="0" applyFont="1" applyFill="1" applyBorder="1"/>
    <xf numFmtId="0" fontId="24" fillId="0" borderId="8" xfId="0" applyFont="1" applyFill="1" applyBorder="1"/>
    <xf numFmtId="0" fontId="24" fillId="0" borderId="5" xfId="0" applyFont="1" applyFill="1" applyBorder="1" applyAlignment="1" applyProtection="1">
      <alignment horizontal="center"/>
      <protection locked="0"/>
    </xf>
    <xf numFmtId="0" fontId="26" fillId="0" borderId="2" xfId="0" applyFont="1" applyFill="1" applyBorder="1" applyProtection="1">
      <protection locked="0"/>
    </xf>
    <xf numFmtId="4" fontId="24" fillId="5" borderId="54" xfId="0" applyNumberFormat="1" applyFont="1" applyFill="1" applyBorder="1" applyAlignment="1" applyProtection="1">
      <alignment horizontal="center" vertical="center"/>
      <protection locked="0"/>
    </xf>
    <xf numFmtId="3" fontId="24" fillId="0" borderId="13"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4" fontId="26" fillId="0" borderId="0" xfId="0" applyNumberFormat="1" applyFont="1" applyFill="1" applyBorder="1"/>
    <xf numFmtId="2" fontId="24" fillId="5" borderId="13" xfId="0" applyNumberFormat="1" applyFont="1" applyFill="1" applyBorder="1" applyAlignment="1" applyProtection="1">
      <alignment horizontal="center"/>
      <protection locked="0"/>
    </xf>
    <xf numFmtId="2" fontId="26" fillId="0" borderId="0" xfId="0" applyNumberFormat="1" applyFont="1" applyFill="1" applyBorder="1" applyAlignment="1" applyProtection="1">
      <alignment horizontal="center"/>
      <protection locked="0"/>
    </xf>
    <xf numFmtId="2" fontId="26" fillId="0" borderId="5" xfId="0" applyNumberFormat="1" applyFont="1" applyFill="1" applyBorder="1" applyAlignment="1" applyProtection="1">
      <alignment horizontal="center"/>
      <protection locked="0"/>
    </xf>
    <xf numFmtId="2" fontId="26" fillId="0" borderId="7" xfId="0" applyNumberFormat="1" applyFont="1" applyFill="1" applyBorder="1" applyAlignment="1" applyProtection="1">
      <alignment horizontal="center"/>
      <protection locked="0"/>
    </xf>
    <xf numFmtId="2" fontId="26" fillId="0" borderId="8" xfId="0" applyNumberFormat="1" applyFont="1" applyFill="1" applyBorder="1" applyAlignment="1" applyProtection="1">
      <alignment horizontal="center"/>
      <protection locked="0"/>
    </xf>
    <xf numFmtId="3" fontId="26" fillId="0" borderId="2" xfId="0" applyNumberFormat="1" applyFont="1" applyFill="1" applyBorder="1" applyProtection="1">
      <protection locked="0"/>
    </xf>
    <xf numFmtId="2" fontId="24" fillId="0" borderId="0" xfId="0" applyNumberFormat="1" applyFont="1" applyFill="1"/>
    <xf numFmtId="2" fontId="24" fillId="0" borderId="0" xfId="0" applyNumberFormat="1" applyFont="1" applyFill="1" applyBorder="1"/>
    <xf numFmtId="2" fontId="24" fillId="0" borderId="5" xfId="0" applyNumberFormat="1" applyFont="1" applyFill="1" applyBorder="1"/>
    <xf numFmtId="2" fontId="24" fillId="0" borderId="7" xfId="0" applyNumberFormat="1" applyFont="1" applyFill="1" applyBorder="1"/>
    <xf numFmtId="2" fontId="24" fillId="0" borderId="8" xfId="0" applyNumberFormat="1" applyFont="1" applyFill="1" applyBorder="1"/>
    <xf numFmtId="2" fontId="29" fillId="0" borderId="0" xfId="0" applyNumberFormat="1" applyFont="1" applyFill="1" applyBorder="1" applyAlignment="1" applyProtection="1">
      <alignment horizontal="center"/>
    </xf>
    <xf numFmtId="4" fontId="32" fillId="0" borderId="0" xfId="0" applyNumberFormat="1" applyFont="1" applyFill="1" applyBorder="1" applyAlignment="1" applyProtection="1">
      <alignment horizontal="center"/>
    </xf>
    <xf numFmtId="4" fontId="24" fillId="0" borderId="0" xfId="0" applyNumberFormat="1" applyFont="1" applyFill="1" applyBorder="1" applyProtection="1">
      <protection locked="0"/>
    </xf>
    <xf numFmtId="3" fontId="3" fillId="3" borderId="0" xfId="0" applyNumberFormat="1" applyFont="1" applyFill="1" applyBorder="1" applyAlignment="1" applyProtection="1">
      <alignment horizontal="right"/>
    </xf>
    <xf numFmtId="166" fontId="10" fillId="0" borderId="9" xfId="0" applyNumberFormat="1" applyFont="1" applyBorder="1" applyAlignment="1" applyProtection="1">
      <alignment horizontal="center"/>
    </xf>
    <xf numFmtId="0" fontId="4" fillId="0" borderId="0" xfId="0" applyFont="1" applyBorder="1" applyAlignment="1" applyProtection="1">
      <alignment horizontal="left"/>
    </xf>
    <xf numFmtId="167" fontId="4" fillId="0" borderId="0" xfId="0" applyNumberFormat="1" applyFont="1" applyFill="1" applyBorder="1" applyAlignment="1" applyProtection="1"/>
    <xf numFmtId="0" fontId="1" fillId="0" borderId="0" xfId="0" applyFont="1" applyBorder="1" applyAlignment="1" applyProtection="1">
      <alignment horizontal="left"/>
    </xf>
    <xf numFmtId="0" fontId="0" fillId="0" borderId="0" xfId="0" applyBorder="1" applyAlignment="1" applyProtection="1">
      <alignment horizontal="center"/>
    </xf>
    <xf numFmtId="0" fontId="3" fillId="0" borderId="0" xfId="0" applyFont="1" applyAlignment="1" applyProtection="1">
      <alignment horizontal="center"/>
    </xf>
    <xf numFmtId="0" fontId="3" fillId="0" borderId="0" xfId="0" applyFont="1" applyBorder="1" applyAlignment="1" applyProtection="1"/>
    <xf numFmtId="0" fontId="0" fillId="0" borderId="0" xfId="0" applyFill="1" applyBorder="1" applyAlignment="1" applyProtection="1"/>
    <xf numFmtId="0" fontId="0" fillId="0" borderId="5" xfId="0" applyBorder="1" applyAlignment="1" applyProtection="1"/>
    <xf numFmtId="0" fontId="1" fillId="0" borderId="4" xfId="0" applyFont="1" applyBorder="1" applyProtection="1"/>
    <xf numFmtId="0" fontId="0" fillId="0" borderId="0" xfId="0" applyBorder="1" applyAlignment="1" applyProtection="1">
      <alignment horizontal="left"/>
    </xf>
    <xf numFmtId="0" fontId="3" fillId="0" borderId="6" xfId="0" applyFont="1" applyBorder="1" applyProtection="1"/>
    <xf numFmtId="0" fontId="3" fillId="0" borderId="7" xfId="0" applyFont="1" applyFill="1" applyBorder="1" applyAlignment="1" applyProtection="1">
      <alignment horizontal="center"/>
    </xf>
    <xf numFmtId="0" fontId="0" fillId="0" borderId="57" xfId="0" applyBorder="1" applyAlignment="1" applyProtection="1">
      <alignment horizontal="center"/>
    </xf>
    <xf numFmtId="0" fontId="0" fillId="0" borderId="58" xfId="0" applyBorder="1" applyAlignment="1" applyProtection="1">
      <alignment horizontal="center"/>
    </xf>
    <xf numFmtId="0" fontId="3" fillId="0" borderId="1" xfId="0" applyFont="1" applyBorder="1" applyProtection="1"/>
    <xf numFmtId="0" fontId="5" fillId="0" borderId="0" xfId="0" applyFont="1" applyFill="1" applyBorder="1" applyAlignment="1" applyProtection="1">
      <alignment horizontal="left"/>
    </xf>
    <xf numFmtId="0" fontId="3" fillId="0" borderId="4" xfId="0" applyFont="1" applyBorder="1" applyProtection="1"/>
    <xf numFmtId="0" fontId="4" fillId="0" borderId="4" xfId="0" applyFont="1" applyBorder="1" applyAlignment="1" applyProtection="1">
      <alignment vertical="center"/>
    </xf>
    <xf numFmtId="0" fontId="1" fillId="0" borderId="5" xfId="0" applyFont="1" applyBorder="1" applyAlignment="1" applyProtection="1">
      <alignment vertical="center"/>
    </xf>
    <xf numFmtId="0" fontId="1" fillId="0" borderId="7" xfId="0" applyFont="1" applyBorder="1" applyProtection="1"/>
    <xf numFmtId="164" fontId="7" fillId="0" borderId="7" xfId="0" applyNumberFormat="1" applyFont="1" applyFill="1" applyBorder="1" applyAlignment="1" applyProtection="1">
      <alignment horizontal="right"/>
    </xf>
    <xf numFmtId="0" fontId="4" fillId="0" borderId="7" xfId="0" applyFont="1" applyBorder="1" applyAlignment="1" applyProtection="1">
      <alignment horizontal="left"/>
    </xf>
    <xf numFmtId="0" fontId="4" fillId="0" borderId="7" xfId="0" applyFont="1" applyBorder="1" applyProtection="1"/>
    <xf numFmtId="166" fontId="0" fillId="0" borderId="0" xfId="0" applyNumberFormat="1" applyFont="1" applyBorder="1" applyAlignment="1" applyProtection="1">
      <alignment horizontal="center"/>
    </xf>
    <xf numFmtId="166" fontId="0" fillId="0" borderId="0" xfId="0" applyNumberFormat="1" applyBorder="1" applyAlignment="1" applyProtection="1">
      <alignment horizontal="center"/>
    </xf>
    <xf numFmtId="166" fontId="0" fillId="8" borderId="0" xfId="0" applyNumberFormat="1" applyFont="1" applyFill="1" applyBorder="1" applyAlignment="1" applyProtection="1">
      <alignment horizontal="center"/>
    </xf>
    <xf numFmtId="166" fontId="0" fillId="7" borderId="0" xfId="0" applyNumberFormat="1" applyFont="1" applyFill="1" applyBorder="1" applyAlignment="1" applyProtection="1">
      <alignment horizontal="center"/>
    </xf>
    <xf numFmtId="166" fontId="0" fillId="0" borderId="1" xfId="0" applyNumberFormat="1" applyFont="1" applyBorder="1" applyAlignment="1" applyProtection="1">
      <alignment horizontal="center"/>
    </xf>
    <xf numFmtId="166" fontId="0" fillId="0" borderId="2" xfId="0" applyNumberFormat="1" applyFont="1" applyBorder="1" applyAlignment="1" applyProtection="1">
      <alignment horizontal="center"/>
    </xf>
    <xf numFmtId="166" fontId="0" fillId="0" borderId="3" xfId="0" applyNumberFormat="1" applyFont="1" applyBorder="1" applyAlignment="1" applyProtection="1">
      <alignment horizontal="center"/>
    </xf>
    <xf numFmtId="166" fontId="0" fillId="0" borderId="4" xfId="0" applyNumberFormat="1" applyBorder="1" applyAlignment="1" applyProtection="1">
      <alignment horizontal="center"/>
    </xf>
    <xf numFmtId="166" fontId="0" fillId="0" borderId="5" xfId="0" applyNumberFormat="1" applyBorder="1" applyAlignment="1" applyProtection="1">
      <alignment horizontal="center"/>
    </xf>
    <xf numFmtId="166" fontId="0" fillId="0" borderId="4" xfId="0" applyNumberFormat="1" applyFont="1" applyBorder="1" applyAlignment="1" applyProtection="1">
      <alignment horizontal="center"/>
    </xf>
    <xf numFmtId="166" fontId="0" fillId="0" borderId="5" xfId="0" applyNumberFormat="1" applyFont="1" applyBorder="1" applyAlignment="1" applyProtection="1">
      <alignment horizontal="center"/>
    </xf>
    <xf numFmtId="166" fontId="0" fillId="8" borderId="4" xfId="0" applyNumberFormat="1" applyFont="1" applyFill="1" applyBorder="1" applyAlignment="1" applyProtection="1">
      <alignment horizontal="center"/>
    </xf>
    <xf numFmtId="166" fontId="0" fillId="8" borderId="5" xfId="0" applyNumberFormat="1" applyFont="1" applyFill="1" applyBorder="1" applyAlignment="1" applyProtection="1">
      <alignment horizontal="center"/>
    </xf>
    <xf numFmtId="166" fontId="0" fillId="7" borderId="4" xfId="0" applyNumberFormat="1" applyFont="1" applyFill="1" applyBorder="1" applyAlignment="1" applyProtection="1">
      <alignment horizontal="center"/>
    </xf>
    <xf numFmtId="166" fontId="0" fillId="7" borderId="5" xfId="0" applyNumberFormat="1" applyFont="1" applyFill="1" applyBorder="1" applyAlignment="1" applyProtection="1">
      <alignment horizontal="center"/>
    </xf>
    <xf numFmtId="1" fontId="0" fillId="8" borderId="0" xfId="0" applyNumberFormat="1" applyFont="1" applyFill="1" applyBorder="1" applyAlignment="1" applyProtection="1">
      <alignment horizontal="center"/>
    </xf>
    <xf numFmtId="0" fontId="0" fillId="0" borderId="0" xfId="0" applyFont="1" applyBorder="1" applyAlignment="1" applyProtection="1">
      <alignment horizontal="center"/>
    </xf>
    <xf numFmtId="166" fontId="0" fillId="5" borderId="0" xfId="0" applyNumberFormat="1" applyFont="1" applyFill="1" applyBorder="1" applyAlignment="1" applyProtection="1">
      <alignment horizontal="center"/>
    </xf>
    <xf numFmtId="1" fontId="0" fillId="8" borderId="1" xfId="0" applyNumberFormat="1" applyFont="1" applyFill="1" applyBorder="1" applyAlignment="1" applyProtection="1">
      <alignment horizontal="center"/>
    </xf>
    <xf numFmtId="1" fontId="0" fillId="8" borderId="2" xfId="0" applyNumberFormat="1" applyFont="1" applyFill="1" applyBorder="1" applyAlignment="1" applyProtection="1">
      <alignment horizontal="center"/>
    </xf>
    <xf numFmtId="1" fontId="0" fillId="8" borderId="3" xfId="0" applyNumberFormat="1" applyFont="1" applyFill="1" applyBorder="1" applyAlignment="1" applyProtection="1">
      <alignment horizontal="center"/>
    </xf>
    <xf numFmtId="1" fontId="0" fillId="8" borderId="4" xfId="0" applyNumberFormat="1" applyFont="1" applyFill="1" applyBorder="1" applyAlignment="1" applyProtection="1">
      <alignment horizontal="center"/>
    </xf>
    <xf numFmtId="1" fontId="0" fillId="8" borderId="5" xfId="0" applyNumberFormat="1" applyFont="1" applyFill="1" applyBorder="1" applyAlignment="1" applyProtection="1">
      <alignment horizontal="center"/>
    </xf>
    <xf numFmtId="166" fontId="0" fillId="5" borderId="4" xfId="0" applyNumberFormat="1" applyFont="1" applyFill="1" applyBorder="1" applyAlignment="1" applyProtection="1">
      <alignment horizontal="center"/>
    </xf>
    <xf numFmtId="166" fontId="0" fillId="5" borderId="5" xfId="0" applyNumberFormat="1" applyFont="1" applyFill="1" applyBorder="1" applyAlignment="1" applyProtection="1">
      <alignment horizontal="center"/>
    </xf>
    <xf numFmtId="166" fontId="3" fillId="0" borderId="0" xfId="0" applyNumberFormat="1" applyFont="1" applyBorder="1" applyAlignment="1" applyProtection="1">
      <alignment horizontal="center"/>
    </xf>
    <xf numFmtId="166" fontId="0" fillId="6" borderId="6" xfId="0" applyNumberFormat="1" applyFont="1" applyFill="1" applyBorder="1" applyAlignment="1" applyProtection="1">
      <alignment horizontal="center"/>
    </xf>
    <xf numFmtId="166" fontId="0" fillId="6" borderId="7" xfId="0" applyNumberFormat="1" applyFont="1" applyFill="1" applyBorder="1" applyAlignment="1" applyProtection="1">
      <alignment horizontal="center"/>
    </xf>
    <xf numFmtId="166" fontId="0" fillId="6" borderId="8" xfId="0" applyNumberFormat="1" applyFont="1" applyFill="1" applyBorder="1" applyAlignment="1" applyProtection="1">
      <alignment horizontal="center"/>
    </xf>
    <xf numFmtId="166" fontId="0" fillId="7" borderId="6" xfId="0" applyNumberFormat="1" applyFont="1" applyFill="1" applyBorder="1" applyAlignment="1" applyProtection="1">
      <alignment horizontal="center"/>
    </xf>
    <xf numFmtId="166" fontId="0" fillId="7" borderId="7" xfId="0" applyNumberFormat="1" applyFont="1" applyFill="1" applyBorder="1" applyAlignment="1" applyProtection="1">
      <alignment horizontal="center"/>
    </xf>
    <xf numFmtId="166" fontId="0" fillId="7" borderId="8" xfId="0" applyNumberFormat="1" applyFont="1" applyFill="1" applyBorder="1" applyAlignment="1" applyProtection="1">
      <alignment horizontal="center"/>
    </xf>
    <xf numFmtId="3" fontId="0" fillId="0" borderId="1" xfId="0" applyNumberFormat="1" applyFont="1" applyBorder="1" applyAlignment="1" applyProtection="1">
      <alignment horizontal="center"/>
    </xf>
    <xf numFmtId="3" fontId="0" fillId="0" borderId="2" xfId="0" applyNumberFormat="1" applyFont="1" applyBorder="1" applyAlignment="1" applyProtection="1">
      <alignment horizontal="center"/>
    </xf>
    <xf numFmtId="3" fontId="0" fillId="0" borderId="3" xfId="0" applyNumberFormat="1" applyFont="1" applyBorder="1" applyAlignment="1" applyProtection="1">
      <alignment horizontal="center"/>
    </xf>
    <xf numFmtId="0" fontId="4" fillId="4" borderId="1" xfId="0" applyFont="1" applyFill="1" applyBorder="1" applyProtection="1"/>
    <xf numFmtId="0" fontId="9" fillId="4" borderId="2" xfId="0" applyFont="1" applyFill="1" applyBorder="1" applyProtection="1"/>
    <xf numFmtId="0" fontId="4" fillId="4" borderId="4" xfId="0" applyFont="1" applyFill="1" applyBorder="1" applyProtection="1"/>
    <xf numFmtId="0" fontId="9" fillId="4" borderId="0" xfId="0" applyFont="1" applyFill="1" applyBorder="1" applyProtection="1"/>
    <xf numFmtId="0" fontId="4" fillId="7" borderId="4" xfId="0" applyFont="1" applyFill="1" applyBorder="1" applyProtection="1"/>
    <xf numFmtId="0" fontId="9" fillId="7" borderId="0" xfId="0" applyFont="1" applyFill="1" applyBorder="1" applyProtection="1"/>
    <xf numFmtId="0" fontId="4" fillId="10" borderId="6" xfId="0" applyFont="1" applyFill="1" applyBorder="1" applyProtection="1"/>
    <xf numFmtId="0" fontId="9" fillId="10" borderId="7" xfId="0" applyFont="1" applyFill="1" applyBorder="1" applyProtection="1"/>
    <xf numFmtId="0" fontId="9" fillId="10" borderId="8" xfId="0" applyFont="1" applyFill="1" applyBorder="1" applyProtection="1"/>
    <xf numFmtId="0" fontId="9" fillId="4" borderId="3" xfId="0" applyFont="1" applyFill="1" applyBorder="1" applyProtection="1"/>
    <xf numFmtId="0" fontId="9" fillId="4" borderId="5" xfId="0" applyFont="1" applyFill="1" applyBorder="1" applyProtection="1"/>
    <xf numFmtId="0" fontId="9" fillId="8" borderId="5" xfId="0" applyFont="1" applyFill="1" applyBorder="1" applyProtection="1"/>
    <xf numFmtId="0" fontId="9" fillId="7" borderId="5" xfId="0" applyFont="1" applyFill="1" applyBorder="1" applyProtection="1"/>
    <xf numFmtId="0" fontId="4" fillId="8" borderId="1" xfId="0" applyFont="1" applyFill="1" applyBorder="1" applyProtection="1"/>
    <xf numFmtId="0" fontId="9" fillId="8" borderId="2" xfId="0" applyFont="1" applyFill="1" applyBorder="1" applyProtection="1"/>
    <xf numFmtId="0" fontId="9" fillId="8" borderId="3" xfId="0" applyFont="1" applyFill="1" applyBorder="1" applyProtection="1"/>
    <xf numFmtId="0" fontId="4" fillId="8" borderId="4" xfId="0" applyFont="1" applyFill="1" applyBorder="1" applyProtection="1"/>
    <xf numFmtId="0" fontId="9" fillId="8" borderId="0" xfId="0" applyFont="1" applyFill="1" applyBorder="1" applyProtection="1"/>
    <xf numFmtId="0" fontId="4" fillId="8" borderId="6" xfId="0" applyFont="1" applyFill="1" applyBorder="1" applyProtection="1"/>
    <xf numFmtId="0" fontId="9" fillId="8" borderId="7" xfId="0" applyFont="1" applyFill="1" applyBorder="1" applyProtection="1"/>
    <xf numFmtId="0" fontId="9" fillId="8" borderId="8" xfId="0" applyFont="1" applyFill="1" applyBorder="1" applyProtection="1"/>
    <xf numFmtId="0" fontId="4" fillId="5" borderId="1" xfId="0" applyFont="1" applyFill="1" applyBorder="1" applyProtection="1"/>
    <xf numFmtId="0" fontId="9" fillId="5" borderId="2" xfId="0" applyFont="1" applyFill="1" applyBorder="1" applyProtection="1"/>
    <xf numFmtId="0" fontId="9" fillId="5" borderId="3" xfId="0" applyFont="1" applyFill="1" applyBorder="1" applyProtection="1"/>
    <xf numFmtId="0" fontId="4" fillId="5" borderId="4" xfId="0" applyFont="1" applyFill="1" applyBorder="1" applyProtection="1"/>
    <xf numFmtId="0" fontId="9" fillId="5" borderId="0" xfId="0" applyFont="1" applyFill="1" applyBorder="1" applyProtection="1"/>
    <xf numFmtId="0" fontId="9" fillId="5" borderId="5" xfId="0" applyFont="1" applyFill="1" applyBorder="1" applyProtection="1"/>
    <xf numFmtId="0" fontId="4" fillId="6" borderId="4" xfId="0" applyFont="1" applyFill="1" applyBorder="1" applyProtection="1"/>
    <xf numFmtId="0" fontId="9" fillId="6" borderId="0" xfId="0" applyFont="1" applyFill="1" applyBorder="1" applyProtection="1"/>
    <xf numFmtId="0" fontId="9" fillId="6" borderId="5" xfId="0" applyFont="1" applyFill="1" applyBorder="1" applyProtection="1"/>
    <xf numFmtId="0" fontId="3" fillId="2" borderId="59" xfId="0" applyFont="1" applyFill="1" applyBorder="1" applyAlignment="1" applyProtection="1">
      <alignment horizontal="right"/>
      <protection locked="0"/>
    </xf>
    <xf numFmtId="0" fontId="3" fillId="2" borderId="60" xfId="0" applyFont="1" applyFill="1" applyBorder="1" applyAlignment="1" applyProtection="1">
      <alignment horizontal="right"/>
      <protection locked="0"/>
    </xf>
    <xf numFmtId="0" fontId="0" fillId="0" borderId="4" xfId="0" applyBorder="1" applyAlignment="1" applyProtection="1">
      <alignment horizontal="center"/>
    </xf>
    <xf numFmtId="0" fontId="0" fillId="0" borderId="6" xfId="0" applyBorder="1" applyAlignment="1" applyProtection="1"/>
    <xf numFmtId="0" fontId="0" fillId="0" borderId="7" xfId="0" applyFill="1" applyBorder="1" applyAlignment="1" applyProtection="1"/>
    <xf numFmtId="0" fontId="0" fillId="0" borderId="7" xfId="0" applyBorder="1" applyAlignment="1" applyProtection="1"/>
    <xf numFmtId="0" fontId="0" fillId="0" borderId="8" xfId="0" applyBorder="1" applyAlignment="1" applyProtection="1"/>
    <xf numFmtId="0" fontId="1" fillId="0" borderId="4" xfId="0" applyFont="1" applyBorder="1" applyAlignment="1" applyProtection="1">
      <alignment horizontal="left"/>
    </xf>
    <xf numFmtId="0" fontId="0" fillId="0" borderId="3" xfId="0" applyBorder="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3" fillId="3" borderId="4" xfId="0" applyFont="1" applyFill="1" applyBorder="1" applyAlignment="1" applyProtection="1">
      <alignment horizontal="center"/>
    </xf>
    <xf numFmtId="0" fontId="0" fillId="0" borderId="10" xfId="0" applyBorder="1" applyProtection="1"/>
    <xf numFmtId="0" fontId="5" fillId="0" borderId="0" xfId="0" applyFont="1" applyAlignment="1" applyProtection="1">
      <alignment horizontal="center"/>
    </xf>
    <xf numFmtId="0" fontId="4" fillId="0" borderId="13" xfId="0" applyFont="1" applyBorder="1" applyAlignment="1" applyProtection="1">
      <alignment horizontal="center"/>
    </xf>
    <xf numFmtId="169" fontId="0" fillId="0" borderId="0" xfId="0" applyNumberFormat="1" applyAlignment="1" applyProtection="1">
      <alignment horizontal="center"/>
    </xf>
    <xf numFmtId="0" fontId="3" fillId="0" borderId="9" xfId="0" applyFont="1" applyBorder="1" applyAlignment="1" applyProtection="1">
      <alignment vertical="center"/>
    </xf>
    <xf numFmtId="0" fontId="3" fillId="0" borderId="11" xfId="0" applyFont="1" applyBorder="1" applyAlignment="1" applyProtection="1">
      <alignment vertical="center"/>
    </xf>
    <xf numFmtId="0" fontId="3" fillId="0" borderId="10" xfId="0" applyFont="1" applyBorder="1" applyAlignment="1" applyProtection="1">
      <alignment vertical="center"/>
    </xf>
    <xf numFmtId="166" fontId="0" fillId="5" borderId="0" xfId="0" applyNumberFormat="1" applyFont="1" applyFill="1" applyBorder="1" applyAlignment="1" applyProtection="1">
      <alignment horizontal="center" vertical="center"/>
    </xf>
    <xf numFmtId="166" fontId="0" fillId="5" borderId="5" xfId="0" applyNumberFormat="1" applyFont="1" applyFill="1" applyBorder="1" applyAlignment="1" applyProtection="1">
      <alignment horizontal="center" vertical="center"/>
    </xf>
    <xf numFmtId="166" fontId="0" fillId="5" borderId="1" xfId="0" applyNumberFormat="1" applyFont="1" applyFill="1" applyBorder="1" applyAlignment="1" applyProtection="1">
      <alignment horizontal="center"/>
    </xf>
    <xf numFmtId="166" fontId="0" fillId="5" borderId="2" xfId="0" applyNumberFormat="1" applyFont="1" applyFill="1" applyBorder="1" applyAlignment="1" applyProtection="1">
      <alignment horizontal="center"/>
    </xf>
    <xf numFmtId="166" fontId="0" fillId="5" borderId="3" xfId="0" applyNumberFormat="1" applyFont="1" applyFill="1" applyBorder="1" applyAlignment="1" applyProtection="1">
      <alignment horizontal="center"/>
    </xf>
    <xf numFmtId="166" fontId="0" fillId="5" borderId="6" xfId="0" applyNumberFormat="1" applyFont="1" applyFill="1" applyBorder="1" applyAlignment="1" applyProtection="1">
      <alignment horizontal="center"/>
    </xf>
    <xf numFmtId="166" fontId="0" fillId="5" borderId="7" xfId="0" applyNumberFormat="1" applyFont="1" applyFill="1" applyBorder="1" applyAlignment="1" applyProtection="1">
      <alignment horizontal="center"/>
    </xf>
    <xf numFmtId="166" fontId="0" fillId="5" borderId="8" xfId="0" applyNumberFormat="1" applyFont="1" applyFill="1" applyBorder="1" applyAlignment="1" applyProtection="1">
      <alignment horizontal="center"/>
    </xf>
    <xf numFmtId="1" fontId="0" fillId="8" borderId="6" xfId="0" applyNumberFormat="1" applyFont="1" applyFill="1" applyBorder="1" applyAlignment="1" applyProtection="1">
      <alignment horizontal="center"/>
    </xf>
    <xf numFmtId="1" fontId="0" fillId="8" borderId="7" xfId="0" applyNumberFormat="1" applyFont="1" applyFill="1" applyBorder="1" applyAlignment="1" applyProtection="1">
      <alignment horizontal="center"/>
    </xf>
    <xf numFmtId="1" fontId="0" fillId="8" borderId="8" xfId="0" applyNumberFormat="1" applyFont="1" applyFill="1" applyBorder="1" applyAlignment="1" applyProtection="1">
      <alignment horizontal="center"/>
    </xf>
    <xf numFmtId="3" fontId="3" fillId="0" borderId="0" xfId="0" applyNumberFormat="1" applyFont="1" applyFill="1" applyBorder="1" applyAlignment="1" applyProtection="1">
      <alignment horizontal="right"/>
      <protection locked="0"/>
    </xf>
    <xf numFmtId="0" fontId="4" fillId="0" borderId="1" xfId="0" applyFont="1" applyBorder="1" applyAlignment="1" applyProtection="1">
      <alignment vertical="center"/>
    </xf>
    <xf numFmtId="9" fontId="0" fillId="0" borderId="13" xfId="0" applyNumberFormat="1" applyBorder="1" applyProtection="1"/>
    <xf numFmtId="0" fontId="0" fillId="0" borderId="13" xfId="0" applyBorder="1" applyProtection="1"/>
    <xf numFmtId="9" fontId="1" fillId="0" borderId="13" xfId="0" applyNumberFormat="1" applyFont="1" applyBorder="1" applyAlignment="1" applyProtection="1">
      <alignment vertical="center"/>
    </xf>
    <xf numFmtId="0" fontId="1" fillId="0" borderId="13" xfId="0" applyFont="1" applyBorder="1" applyAlignment="1" applyProtection="1">
      <alignment vertical="center"/>
    </xf>
    <xf numFmtId="9" fontId="1" fillId="0" borderId="13" xfId="0" applyNumberFormat="1" applyFont="1" applyBorder="1" applyProtection="1"/>
    <xf numFmtId="0" fontId="1" fillId="0" borderId="13" xfId="0" applyFont="1" applyBorder="1" applyProtection="1"/>
    <xf numFmtId="0" fontId="1" fillId="0" borderId="13" xfId="0" applyFont="1" applyFill="1" applyBorder="1" applyProtection="1"/>
    <xf numFmtId="0" fontId="3" fillId="0" borderId="13" xfId="0" applyFont="1" applyBorder="1" applyProtection="1"/>
    <xf numFmtId="0" fontId="3" fillId="0" borderId="13" xfId="0" applyFont="1" applyFill="1" applyBorder="1" applyProtection="1"/>
    <xf numFmtId="4" fontId="11" fillId="0" borderId="0" xfId="1" applyNumberFormat="1" applyFont="1" applyAlignment="1" applyProtection="1"/>
    <xf numFmtId="166" fontId="3" fillId="3" borderId="12" xfId="0" applyNumberFormat="1" applyFont="1" applyFill="1" applyBorder="1" applyAlignment="1" applyProtection="1">
      <alignment horizontal="right" vertical="center"/>
    </xf>
    <xf numFmtId="167" fontId="0" fillId="0" borderId="0" xfId="0" applyNumberFormat="1" applyProtection="1"/>
    <xf numFmtId="166" fontId="33" fillId="0" borderId="0" xfId="0" applyNumberFormat="1" applyFont="1" applyAlignment="1" applyProtection="1">
      <alignment vertical="center"/>
    </xf>
    <xf numFmtId="10" fontId="4" fillId="0" borderId="0" xfId="0" applyNumberFormat="1" applyFont="1" applyFill="1" applyBorder="1" applyAlignment="1" applyProtection="1">
      <alignment horizontal="left"/>
    </xf>
    <xf numFmtId="9" fontId="0" fillId="0" borderId="0" xfId="0" applyNumberFormat="1" applyProtection="1"/>
    <xf numFmtId="10" fontId="0" fillId="0" borderId="0" xfId="0" applyNumberFormat="1" applyProtection="1"/>
    <xf numFmtId="0" fontId="24" fillId="0" borderId="13"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6" fillId="0" borderId="0" xfId="0" applyFont="1" applyFill="1" applyBorder="1" applyAlignment="1" applyProtection="1">
      <alignment horizontal="center" vertical="center"/>
      <protection locked="0"/>
    </xf>
    <xf numFmtId="0" fontId="0" fillId="0" borderId="0" xfId="0" applyAlignment="1" applyProtection="1">
      <alignment horizontal="center"/>
    </xf>
    <xf numFmtId="10" fontId="5" fillId="5" borderId="3" xfId="0" applyNumberFormat="1" applyFont="1" applyFill="1" applyBorder="1" applyAlignment="1" applyProtection="1">
      <alignment horizontal="center" vertical="center"/>
    </xf>
    <xf numFmtId="10" fontId="5" fillId="5" borderId="8" xfId="0" applyNumberFormat="1" applyFont="1" applyFill="1" applyBorder="1" applyAlignment="1" applyProtection="1">
      <alignment horizontal="center" vertical="center"/>
    </xf>
    <xf numFmtId="166" fontId="33" fillId="5" borderId="1" xfId="0" applyNumberFormat="1" applyFont="1" applyFill="1" applyBorder="1" applyAlignment="1" applyProtection="1">
      <alignment horizontal="center" vertical="center"/>
    </xf>
    <xf numFmtId="166" fontId="33" fillId="5" borderId="2" xfId="0" applyNumberFormat="1" applyFont="1" applyFill="1" applyBorder="1" applyAlignment="1" applyProtection="1">
      <alignment horizontal="center" vertical="center"/>
    </xf>
    <xf numFmtId="166" fontId="33" fillId="5" borderId="6" xfId="0" applyNumberFormat="1" applyFont="1" applyFill="1" applyBorder="1" applyAlignment="1" applyProtection="1">
      <alignment horizontal="center" vertical="center"/>
    </xf>
    <xf numFmtId="166" fontId="33" fillId="5" borderId="7" xfId="0" applyNumberFormat="1" applyFont="1" applyFill="1" applyBorder="1" applyAlignment="1" applyProtection="1">
      <alignment horizontal="center" vertical="center"/>
    </xf>
    <xf numFmtId="0" fontId="4" fillId="0" borderId="0" xfId="0" applyFont="1" applyBorder="1" applyAlignment="1" applyProtection="1">
      <alignment horizontal="left"/>
    </xf>
    <xf numFmtId="166" fontId="4" fillId="3" borderId="10" xfId="0" applyNumberFormat="1" applyFont="1" applyFill="1" applyBorder="1" applyAlignment="1" applyProtection="1">
      <alignment horizontal="right"/>
    </xf>
    <xf numFmtId="166" fontId="4" fillId="3" borderId="11" xfId="0" applyNumberFormat="1" applyFont="1" applyFill="1" applyBorder="1" applyAlignment="1" applyProtection="1">
      <alignment horizontal="right"/>
    </xf>
    <xf numFmtId="0" fontId="5" fillId="3" borderId="9" xfId="0" applyFont="1" applyFill="1" applyBorder="1" applyAlignment="1" applyProtection="1">
      <alignment horizontal="left"/>
    </xf>
    <xf numFmtId="0" fontId="5" fillId="3" borderId="10" xfId="0" applyFont="1" applyFill="1" applyBorder="1" applyAlignment="1" applyProtection="1">
      <alignment horizontal="left"/>
    </xf>
    <xf numFmtId="0" fontId="5" fillId="3" borderId="11" xfId="0" applyFont="1" applyFill="1" applyBorder="1" applyAlignment="1" applyProtection="1">
      <alignment horizontal="left"/>
    </xf>
    <xf numFmtId="166" fontId="4" fillId="3" borderId="7" xfId="0" applyNumberFormat="1" applyFont="1" applyFill="1" applyBorder="1" applyAlignment="1" applyProtection="1">
      <alignment horizontal="right"/>
    </xf>
    <xf numFmtId="0" fontId="4" fillId="3" borderId="8" xfId="0" applyFont="1" applyFill="1" applyBorder="1" applyAlignment="1" applyProtection="1">
      <alignment horizontal="right"/>
    </xf>
    <xf numFmtId="167" fontId="4" fillId="0" borderId="0" xfId="0" applyNumberFormat="1" applyFont="1" applyFill="1" applyBorder="1" applyAlignment="1" applyProtection="1"/>
    <xf numFmtId="0" fontId="1" fillId="0" borderId="4" xfId="0" applyFont="1" applyBorder="1" applyAlignment="1" applyProtection="1">
      <alignment horizontal="left"/>
    </xf>
    <xf numFmtId="0" fontId="1" fillId="0" borderId="0" xfId="0" applyFont="1" applyBorder="1" applyAlignment="1" applyProtection="1">
      <alignment horizontal="left"/>
    </xf>
    <xf numFmtId="0" fontId="0" fillId="0" borderId="22" xfId="0" applyBorder="1" applyAlignment="1" applyProtection="1">
      <alignment horizontal="left" wrapText="1"/>
    </xf>
    <xf numFmtId="0" fontId="0" fillId="0" borderId="17" xfId="0" applyBorder="1" applyAlignment="1" applyProtection="1">
      <alignment horizontal="left" wrapText="1"/>
    </xf>
    <xf numFmtId="0" fontId="0" fillId="0" borderId="37" xfId="0" applyBorder="1" applyAlignment="1" applyProtection="1">
      <alignment horizontal="left" wrapText="1"/>
    </xf>
    <xf numFmtId="0" fontId="0" fillId="0" borderId="24" xfId="0" applyBorder="1" applyAlignment="1" applyProtection="1">
      <alignment horizontal="left" wrapText="1"/>
    </xf>
    <xf numFmtId="0" fontId="0" fillId="0" borderId="18" xfId="0" applyBorder="1" applyAlignment="1" applyProtection="1">
      <alignment horizontal="left" wrapText="1"/>
    </xf>
    <xf numFmtId="0" fontId="0" fillId="0" borderId="25" xfId="0" applyBorder="1" applyAlignment="1" applyProtection="1">
      <alignment horizontal="left" wrapText="1"/>
    </xf>
    <xf numFmtId="166" fontId="4" fillId="3" borderId="18" xfId="0" applyNumberFormat="1" applyFont="1" applyFill="1" applyBorder="1" applyAlignment="1" applyProtection="1">
      <alignment horizontal="right"/>
    </xf>
    <xf numFmtId="166" fontId="4" fillId="3" borderId="25" xfId="0" applyNumberFormat="1" applyFont="1" applyFill="1" applyBorder="1" applyAlignment="1" applyProtection="1">
      <alignment horizontal="right"/>
    </xf>
    <xf numFmtId="166" fontId="4" fillId="3" borderId="26" xfId="0" applyNumberFormat="1" applyFont="1" applyFill="1" applyBorder="1" applyAlignment="1" applyProtection="1">
      <alignment horizontal="right"/>
    </xf>
    <xf numFmtId="166" fontId="4" fillId="3" borderId="27" xfId="0" applyNumberFormat="1" applyFont="1" applyFill="1" applyBorder="1" applyAlignment="1" applyProtection="1">
      <alignment horizontal="right"/>
    </xf>
    <xf numFmtId="166" fontId="4" fillId="3" borderId="2" xfId="0" applyNumberFormat="1" applyFont="1" applyFill="1" applyBorder="1" applyAlignment="1" applyProtection="1">
      <alignment horizontal="right"/>
    </xf>
    <xf numFmtId="166" fontId="4" fillId="3" borderId="3" xfId="0" applyNumberFormat="1" applyFont="1" applyFill="1" applyBorder="1" applyAlignment="1" applyProtection="1">
      <alignment horizontal="right"/>
    </xf>
    <xf numFmtId="0" fontId="22" fillId="3" borderId="9" xfId="1" applyFont="1" applyFill="1" applyBorder="1" applyAlignment="1" applyProtection="1">
      <alignment horizontal="left"/>
    </xf>
    <xf numFmtId="0" fontId="22" fillId="3" borderId="10" xfId="1" applyFont="1" applyFill="1" applyBorder="1" applyAlignment="1" applyProtection="1">
      <alignment horizontal="left"/>
    </xf>
    <xf numFmtId="0" fontId="22" fillId="3" borderId="11" xfId="1" applyFont="1" applyFill="1" applyBorder="1" applyAlignment="1" applyProtection="1">
      <alignment horizontal="left"/>
    </xf>
    <xf numFmtId="0" fontId="4" fillId="3" borderId="3" xfId="0" applyFont="1" applyFill="1" applyBorder="1" applyAlignment="1" applyProtection="1">
      <alignment horizontal="right"/>
    </xf>
    <xf numFmtId="0" fontId="4" fillId="3" borderId="1" xfId="0" applyFont="1" applyFill="1" applyBorder="1" applyAlignment="1" applyProtection="1">
      <alignment horizontal="left" wrapText="1"/>
    </xf>
    <xf numFmtId="0" fontId="4" fillId="3" borderId="2" xfId="0" applyFont="1" applyFill="1" applyBorder="1" applyAlignment="1" applyProtection="1">
      <alignment horizontal="left" wrapText="1"/>
    </xf>
    <xf numFmtId="0" fontId="4" fillId="3" borderId="3" xfId="0" applyFont="1" applyFill="1" applyBorder="1" applyAlignment="1" applyProtection="1">
      <alignment horizontal="left" wrapText="1"/>
    </xf>
    <xf numFmtId="0" fontId="4" fillId="3" borderId="6" xfId="0" applyFont="1" applyFill="1" applyBorder="1" applyAlignment="1" applyProtection="1">
      <alignment horizontal="left" wrapText="1"/>
    </xf>
    <xf numFmtId="0" fontId="4" fillId="3" borderId="7" xfId="0" applyFont="1" applyFill="1" applyBorder="1" applyAlignment="1" applyProtection="1">
      <alignment horizontal="left" wrapText="1"/>
    </xf>
    <xf numFmtId="0" fontId="4" fillId="3" borderId="8" xfId="0" applyFont="1" applyFill="1" applyBorder="1" applyAlignment="1" applyProtection="1">
      <alignment horizontal="left" wrapText="1"/>
    </xf>
    <xf numFmtId="0" fontId="11" fillId="0" borderId="0" xfId="1" applyFont="1" applyBorder="1" applyAlignment="1" applyProtection="1">
      <alignment horizontal="left"/>
    </xf>
    <xf numFmtId="0" fontId="13" fillId="0" borderId="4" xfId="1" applyFont="1" applyBorder="1" applyAlignment="1" applyProtection="1">
      <alignment horizontal="left"/>
    </xf>
    <xf numFmtId="0" fontId="13" fillId="0" borderId="0" xfId="1" applyFont="1" applyBorder="1" applyAlignment="1" applyProtection="1">
      <alignment horizontal="left"/>
    </xf>
    <xf numFmtId="0" fontId="13" fillId="0" borderId="5" xfId="1" applyFont="1" applyBorder="1" applyAlignment="1" applyProtection="1">
      <alignment horizontal="left"/>
    </xf>
    <xf numFmtId="0" fontId="12" fillId="0" borderId="6" xfId="0" applyFont="1" applyBorder="1" applyAlignment="1" applyProtection="1">
      <alignment horizontal="center"/>
    </xf>
    <xf numFmtId="0" fontId="12" fillId="0" borderId="7" xfId="0" applyFont="1" applyBorder="1" applyAlignment="1" applyProtection="1">
      <alignment horizontal="center"/>
    </xf>
    <xf numFmtId="0" fontId="12" fillId="0" borderId="8" xfId="0" applyFont="1" applyBorder="1" applyAlignment="1" applyProtection="1">
      <alignment horizontal="center"/>
    </xf>
    <xf numFmtId="0" fontId="12" fillId="0" borderId="0" xfId="0" applyFont="1" applyAlignment="1" applyProtection="1">
      <alignment horizontal="center"/>
    </xf>
    <xf numFmtId="0" fontId="34" fillId="0" borderId="1"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0" borderId="3" xfId="0" applyFont="1" applyBorder="1" applyAlignment="1" applyProtection="1">
      <alignment horizontal="left" vertical="center" wrapText="1"/>
    </xf>
    <xf numFmtId="0" fontId="34" fillId="0" borderId="4"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5"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0" borderId="7" xfId="0" applyFont="1" applyBorder="1" applyAlignment="1" applyProtection="1">
      <alignment horizontal="left" vertical="center" wrapText="1"/>
    </xf>
    <xf numFmtId="0" fontId="34" fillId="0" borderId="8" xfId="0" applyFont="1" applyBorder="1" applyAlignment="1" applyProtection="1">
      <alignment horizontal="left" vertical="center" wrapText="1"/>
    </xf>
    <xf numFmtId="4" fontId="16" fillId="0" borderId="28" xfId="0" applyNumberFormat="1" applyFont="1" applyBorder="1" applyAlignment="1">
      <alignment horizontal="left"/>
    </xf>
    <xf numFmtId="0" fontId="0" fillId="0" borderId="0" xfId="0" applyAlignment="1" applyProtection="1">
      <alignment horizontal="left"/>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0" xfId="0" applyBorder="1" applyAlignment="1" applyProtection="1">
      <alignment horizontal="center"/>
    </xf>
    <xf numFmtId="0" fontId="0" fillId="0" borderId="1" xfId="0" applyBorder="1" applyAlignment="1" applyProtection="1">
      <alignment horizontal="center"/>
    </xf>
    <xf numFmtId="0" fontId="0" fillId="0" borderId="4"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horizontal="center"/>
    </xf>
    <xf numFmtId="10" fontId="26" fillId="0" borderId="13" xfId="0" applyNumberFormat="1" applyFont="1" applyFill="1" applyBorder="1" applyAlignment="1">
      <alignment horizontal="center"/>
    </xf>
    <xf numFmtId="0" fontId="26" fillId="0" borderId="13" xfId="0" applyFont="1" applyFill="1" applyBorder="1" applyAlignment="1" applyProtection="1">
      <alignment horizontal="center"/>
      <protection locked="0"/>
    </xf>
    <xf numFmtId="0" fontId="26" fillId="0" borderId="13" xfId="0" applyFont="1" applyFill="1" applyBorder="1" applyAlignment="1">
      <alignment horizontal="center"/>
    </xf>
    <xf numFmtId="0" fontId="26" fillId="0" borderId="1" xfId="0" applyFont="1" applyFill="1" applyBorder="1" applyAlignment="1" applyProtection="1">
      <alignment horizontal="center" vertical="center"/>
      <protection locked="0"/>
    </xf>
    <xf numFmtId="0" fontId="26" fillId="0" borderId="55"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56"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protection locked="0"/>
    </xf>
    <xf numFmtId="0" fontId="24" fillId="0" borderId="22"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10" fontId="26" fillId="0" borderId="13" xfId="0" applyNumberFormat="1" applyFont="1" applyFill="1" applyBorder="1" applyAlignment="1" applyProtection="1">
      <alignment horizontal="center"/>
      <protection locked="0"/>
    </xf>
    <xf numFmtId="0" fontId="29" fillId="0" borderId="13"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protection locked="0"/>
    </xf>
    <xf numFmtId="174" fontId="26" fillId="0" borderId="0"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9" fillId="0" borderId="0" xfId="0" applyFont="1" applyFill="1" applyBorder="1" applyAlignment="1" applyProtection="1">
      <alignment horizontal="center" vertical="center"/>
      <protection locked="0"/>
    </xf>
    <xf numFmtId="0" fontId="30" fillId="0" borderId="42" xfId="0" applyFont="1" applyFill="1" applyBorder="1" applyAlignment="1" applyProtection="1">
      <alignment horizontal="center"/>
      <protection locked="0"/>
    </xf>
    <xf numFmtId="0" fontId="30" fillId="0" borderId="44" xfId="0" applyFont="1" applyFill="1" applyBorder="1" applyAlignment="1" applyProtection="1">
      <alignment horizontal="center"/>
      <protection locked="0"/>
    </xf>
    <xf numFmtId="0" fontId="30" fillId="0" borderId="43" xfId="0" applyFont="1" applyFill="1" applyBorder="1" applyAlignment="1" applyProtection="1">
      <alignment horizontal="center"/>
      <protection locked="0"/>
    </xf>
    <xf numFmtId="0" fontId="29" fillId="0" borderId="22"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46" xfId="0" applyFont="1" applyFill="1" applyBorder="1" applyAlignment="1" applyProtection="1">
      <alignment horizontal="center" vertical="center"/>
      <protection locked="0"/>
    </xf>
    <xf numFmtId="0" fontId="29" fillId="0" borderId="48"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29" fillId="0" borderId="44" xfId="0" applyFont="1" applyFill="1" applyBorder="1" applyAlignment="1" applyProtection="1">
      <alignment horizontal="center" vertical="center"/>
      <protection locked="0"/>
    </xf>
    <xf numFmtId="0" fontId="29" fillId="0" borderId="43" xfId="0" applyFont="1" applyFill="1" applyBorder="1" applyAlignment="1" applyProtection="1">
      <alignment horizontal="center" vertical="center"/>
      <protection locked="0"/>
    </xf>
  </cellXfs>
  <cellStyles count="4">
    <cellStyle name="Collegamento ipertestuale" xfId="1" builtinId="8"/>
    <cellStyle name="Migliaia" xfId="2" builtinId="3"/>
    <cellStyle name="Normale" xfId="0" builtinId="0"/>
    <cellStyle name="Percentuale" xfId="3" builtinId="5"/>
  </cellStyles>
  <dxfs count="44">
    <dxf>
      <fill>
        <patternFill>
          <bgColor rgb="FFFFCC66"/>
        </patternFill>
      </fill>
    </dxf>
    <dxf>
      <border>
        <left/>
        <right style="thin">
          <color indexed="9"/>
        </right>
        <top/>
        <bottom style="thin">
          <color indexed="9"/>
        </bottom>
      </border>
    </dxf>
    <dxf>
      <border>
        <left/>
        <right/>
        <top/>
        <bottom/>
      </border>
    </dxf>
    <dxf>
      <border>
        <left style="thin">
          <color indexed="9"/>
        </left>
        <right/>
        <top/>
        <bottom style="thin">
          <color indexed="9"/>
        </bottom>
      </border>
    </dxf>
    <dxf>
      <border>
        <left/>
        <right/>
        <top/>
        <bottom/>
      </border>
    </dxf>
    <dxf>
      <border>
        <left/>
        <right/>
        <top/>
        <bottom style="thin">
          <color indexed="9"/>
        </bottom>
      </border>
    </dxf>
    <dxf>
      <border>
        <left/>
        <right/>
        <top/>
        <bottom/>
      </border>
    </dxf>
    <dxf>
      <fill>
        <patternFill>
          <bgColor rgb="FFFFC000"/>
        </patternFill>
      </fill>
    </dxf>
    <dxf>
      <fill>
        <patternFill>
          <bgColor rgb="FFB2B2B2"/>
        </patternFill>
      </fill>
    </dxf>
    <dxf>
      <fill>
        <patternFill>
          <bgColor rgb="FFB2B2B2"/>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theme="2" tint="-9.9948118533890809E-2"/>
        </patternFill>
      </fill>
    </dxf>
    <dxf>
      <fill>
        <patternFill>
          <bgColor rgb="FFB2B2B2"/>
        </patternFill>
      </fill>
    </dxf>
    <dxf>
      <fill>
        <patternFill>
          <bgColor rgb="FFB2B2B2"/>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theme="2" tint="-9.9948118533890809E-2"/>
        </patternFill>
      </fill>
    </dxf>
    <dxf>
      <fill>
        <patternFill>
          <bgColor rgb="FFB2B2B2"/>
        </patternFill>
      </fill>
    </dxf>
    <dxf>
      <font>
        <condense val="0"/>
        <extend val="0"/>
        <color rgb="FF9C0006"/>
      </font>
      <fill>
        <patternFill>
          <bgColor rgb="FFFFC7CE"/>
        </patternFill>
      </fill>
    </dxf>
    <dxf>
      <fill>
        <patternFill>
          <bgColor rgb="FF33CC33"/>
        </patternFill>
      </fill>
    </dxf>
    <dxf>
      <fill>
        <patternFill>
          <bgColor rgb="FFFF0000"/>
        </patternFill>
      </fill>
    </dxf>
    <dxf>
      <font>
        <color auto="1"/>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33"/>
      <color rgb="FFB2B2B2"/>
      <color rgb="FFFF9900"/>
      <color rgb="FFFF7C80"/>
      <color rgb="FF99FF66"/>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barChart>
        <c:barDir val="col"/>
        <c:grouping val="clustered"/>
        <c:ser>
          <c:idx val="0"/>
          <c:order val="0"/>
          <c:val>
            <c:numRef>
              <c:f>'Simulazione 10.1'!$E$102:$AC$102</c:f>
              <c:numCache>
                <c:formatCode>"€"\ #,##0</c:formatCode>
                <c:ptCount val="25"/>
                <c:pt idx="0">
                  <c:v>-469895.15606330155</c:v>
                </c:pt>
                <c:pt idx="1">
                  <c:v>-363592.51686062175</c:v>
                </c:pt>
                <c:pt idx="2">
                  <c:v>-254911.1889926407</c:v>
                </c:pt>
                <c:pt idx="3">
                  <c:v>-143767.8948868548</c:v>
                </c:pt>
                <c:pt idx="4">
                  <c:v>-30076.898896905099</c:v>
                </c:pt>
                <c:pt idx="5">
                  <c:v>86250.068854764351</c:v>
                </c:pt>
                <c:pt idx="6">
                  <c:v>205303.89096013136</c:v>
                </c:pt>
                <c:pt idx="7">
                  <c:v>327178.14360603713</c:v>
                </c:pt>
                <c:pt idx="8">
                  <c:v>451969.1799253627</c:v>
                </c:pt>
                <c:pt idx="9">
                  <c:v>570776.21589471051</c:v>
                </c:pt>
                <c:pt idx="10">
                  <c:v>701701.41885668249</c:v>
                </c:pt>
                <c:pt idx="11">
                  <c:v>835849.99874723796</c:v>
                </c:pt>
                <c:pt idx="12">
                  <c:v>967873.64924678544</c:v>
                </c:pt>
                <c:pt idx="13">
                  <c:v>1103415.1471377509</c:v>
                </c:pt>
                <c:pt idx="14">
                  <c:v>1242588.7349157862</c:v>
                </c:pt>
                <c:pt idx="15">
                  <c:v>1385512.0973657463</c:v>
                </c:pt>
                <c:pt idx="16">
                  <c:v>1532306.4675563371</c:v>
                </c:pt>
                <c:pt idx="17">
                  <c:v>1683096.736077735</c:v>
                </c:pt>
                <c:pt idx="18">
                  <c:v>1838011.5636215825</c:v>
                </c:pt>
                <c:pt idx="19">
                  <c:v>1988183.4970058131</c:v>
                </c:pt>
                <c:pt idx="20">
                  <c:v>2132090.412773882</c:v>
                </c:pt>
                <c:pt idx="21">
                  <c:v>2280683.1624410846</c:v>
                </c:pt>
                <c:pt idx="22">
                  <c:v>2434105.3199580903</c:v>
                </c:pt>
                <c:pt idx="23">
                  <c:v>2592504.8583814171</c:v>
                </c:pt>
                <c:pt idx="24">
                  <c:v>2756034.2846620344</c:v>
                </c:pt>
              </c:numCache>
            </c:numRef>
          </c:val>
        </c:ser>
        <c:axId val="71854336"/>
        <c:axId val="71876608"/>
      </c:barChart>
      <c:catAx>
        <c:axId val="71854336"/>
        <c:scaling>
          <c:orientation val="minMax"/>
        </c:scaling>
        <c:axPos val="b"/>
        <c:tickLblPos val="low"/>
        <c:crossAx val="71876608"/>
        <c:crosses val="autoZero"/>
        <c:auto val="1"/>
        <c:lblAlgn val="ctr"/>
        <c:lblOffset val="100"/>
      </c:catAx>
      <c:valAx>
        <c:axId val="71876608"/>
        <c:scaling>
          <c:orientation val="minMax"/>
        </c:scaling>
        <c:axPos val="l"/>
        <c:majorGridlines/>
        <c:numFmt formatCode="&quot;€&quot;\ #,##0" sourceLinked="1"/>
        <c:tickLblPos val="nextTo"/>
        <c:crossAx val="71854336"/>
        <c:crosses val="autoZero"/>
        <c:crossBetween val="between"/>
      </c:valAx>
    </c:plotArea>
    <c:plotVisOnly val="1"/>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570449</xdr:colOff>
      <xdr:row>30</xdr:row>
      <xdr:rowOff>29085</xdr:rowOff>
    </xdr:from>
    <xdr:to>
      <xdr:col>22</xdr:col>
      <xdr:colOff>-1</xdr:colOff>
      <xdr:row>63</xdr:row>
      <xdr:rowOff>119062</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ziamen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o del prestito"/>
    </sheetNames>
    <sheetDataSet>
      <sheetData sheetId="0" refreshError="1">
        <row r="4">
          <cell r="E4">
            <v>7500</v>
          </cell>
        </row>
        <row r="15">
          <cell r="B15" t="str">
            <v>N.</v>
          </cell>
          <cell r="C15" t="str">
            <v>Data pagamento</v>
          </cell>
          <cell r="D15" t="str">
            <v>Saldo iniziale</v>
          </cell>
          <cell r="E15" t="str">
            <v>Pagamento</v>
          </cell>
          <cell r="F15" t="str">
            <v>Capitale</v>
          </cell>
          <cell r="G15" t="str">
            <v>Interesse</v>
          </cell>
          <cell r="H15" t="str">
            <v>Saldo finale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A6CA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newsenergia.com/rendimento-fotovoltaico-manutenzione-progettazione-0418.html" TargetMode="External"/><Relationship Id="rId7" Type="http://schemas.openxmlformats.org/officeDocument/2006/relationships/hyperlink" Target="http://newsenergia.com/aeeg-tariffe-energia-elettrica-sostariffe-0223.html" TargetMode="External"/><Relationship Id="rId2" Type="http://schemas.openxmlformats.org/officeDocument/2006/relationships/hyperlink" Target="http://newsenergia.com/migliore-angolazione-pannelli-fotovoltaici-0522.html" TargetMode="External"/><Relationship Id="rId1" Type="http://schemas.openxmlformats.org/officeDocument/2006/relationships/hyperlink" Target="http://newsenergia.com/fotovoltaico-per-tutti-la-produttivita-degli-impianti-0117.html" TargetMode="External"/><Relationship Id="rId6" Type="http://schemas.openxmlformats.org/officeDocument/2006/relationships/hyperlink" Target="http://newsenergia.com/fotovoltaico-per-tutti-il-caldo-fa-male-ai-moduli-fotovoltaici-0127.html" TargetMode="External"/><Relationship Id="rId5" Type="http://schemas.openxmlformats.org/officeDocument/2006/relationships/hyperlink" Target="http://newsenergia.com/fotovoltaico-per-tutti-la-produttivita-degli-impianti-0117.html" TargetMode="External"/><Relationship Id="rId10" Type="http://schemas.openxmlformats.org/officeDocument/2006/relationships/vmlDrawing" Target="../drawings/vmlDrawing1.vml"/><Relationship Id="rId4" Type="http://schemas.openxmlformats.org/officeDocument/2006/relationships/hyperlink" Target="http://newsenergia.com/fotovoltaico-per-tutti-la-produttivita-degli-impianti-0117.html"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Foglio1"/>
  <dimension ref="A1:AC113"/>
  <sheetViews>
    <sheetView tabSelected="1" zoomScale="80" zoomScaleNormal="80" workbookViewId="0">
      <selection activeCell="A2" sqref="A2"/>
    </sheetView>
  </sheetViews>
  <sheetFormatPr defaultRowHeight="15"/>
  <cols>
    <col min="1" max="1" width="14.7109375" style="6" customWidth="1"/>
    <col min="2" max="2" width="20.7109375" style="6" customWidth="1"/>
    <col min="3" max="3" width="10.140625" style="6" customWidth="1"/>
    <col min="4" max="4" width="6.5703125" style="6" customWidth="1"/>
    <col min="5" max="24" width="10.7109375" style="6" customWidth="1"/>
    <col min="25" max="29" width="10" style="6" customWidth="1"/>
    <col min="30" max="16384" width="9.140625" style="6"/>
  </cols>
  <sheetData>
    <row r="1" spans="1:22" s="1" customFormat="1" ht="19.5" thickBot="1">
      <c r="A1" s="469" t="s">
        <v>278</v>
      </c>
      <c r="B1" s="470"/>
      <c r="C1" s="470"/>
      <c r="D1" s="470"/>
      <c r="E1" s="470"/>
      <c r="F1" s="470"/>
      <c r="G1" s="471"/>
    </row>
    <row r="2" spans="1:22" s="1" customFormat="1" ht="11.25" customHeight="1" thickBot="1">
      <c r="A2" s="335"/>
      <c r="B2" s="335"/>
      <c r="C2" s="335"/>
      <c r="D2" s="335"/>
      <c r="E2" s="335"/>
      <c r="F2" s="335"/>
      <c r="G2" s="335"/>
    </row>
    <row r="3" spans="1:22" ht="13.5" customHeight="1" thickBot="1">
      <c r="A3" s="23"/>
      <c r="B3" s="15"/>
      <c r="C3" s="15"/>
      <c r="D3" s="15"/>
      <c r="E3" s="15"/>
      <c r="F3" s="15"/>
      <c r="G3" s="15"/>
      <c r="H3" s="15"/>
      <c r="I3" s="15"/>
      <c r="J3" s="15"/>
      <c r="K3" s="15"/>
      <c r="L3" s="15"/>
      <c r="M3" s="15"/>
      <c r="N3" s="15"/>
      <c r="O3" s="16"/>
    </row>
    <row r="4" spans="1:22" ht="16.5" thickBot="1">
      <c r="A4" s="8" t="s">
        <v>124</v>
      </c>
      <c r="B4" s="9"/>
      <c r="C4" s="88">
        <v>499</v>
      </c>
      <c r="D4" s="10" t="s">
        <v>12</v>
      </c>
      <c r="E4" s="2"/>
      <c r="F4" s="2"/>
      <c r="G4" s="2"/>
      <c r="H4" s="111"/>
      <c r="I4" s="325" t="s">
        <v>62</v>
      </c>
      <c r="J4" s="325"/>
      <c r="K4" s="112"/>
      <c r="L4" s="325" t="s">
        <v>63</v>
      </c>
      <c r="M4" s="97"/>
      <c r="N4" s="326"/>
      <c r="O4" s="327"/>
      <c r="P4" s="21"/>
      <c r="Q4" s="21"/>
    </row>
    <row r="5" spans="1:22" ht="16.5" thickBot="1">
      <c r="A5" s="8" t="s">
        <v>123</v>
      </c>
      <c r="B5" s="9"/>
      <c r="C5" s="51">
        <v>1200</v>
      </c>
      <c r="D5" s="10" t="s">
        <v>12</v>
      </c>
      <c r="E5" s="2"/>
      <c r="F5" s="2"/>
      <c r="G5" s="2"/>
      <c r="H5" s="12"/>
      <c r="I5" s="27"/>
      <c r="J5" s="27"/>
      <c r="K5" s="27"/>
      <c r="L5" s="27"/>
      <c r="M5" s="12"/>
      <c r="N5" s="27"/>
      <c r="O5" s="327"/>
      <c r="P5" s="21"/>
      <c r="Q5" s="21"/>
    </row>
    <row r="6" spans="1:22" ht="9.75" customHeight="1" thickBot="1">
      <c r="A6" s="328"/>
      <c r="B6" s="11"/>
      <c r="C6" s="12"/>
      <c r="D6" s="11"/>
      <c r="E6" s="2"/>
      <c r="F6" s="2"/>
      <c r="G6" s="2"/>
      <c r="H6" s="2"/>
      <c r="I6" s="2"/>
      <c r="J6" s="329"/>
      <c r="K6" s="329"/>
      <c r="L6" s="329"/>
      <c r="M6" s="2"/>
      <c r="N6" s="2"/>
      <c r="O6" s="7"/>
    </row>
    <row r="7" spans="1:22" ht="15.75" customHeight="1">
      <c r="A7" s="13"/>
      <c r="B7" s="14"/>
      <c r="C7" s="14"/>
      <c r="D7" s="14"/>
      <c r="E7" s="15"/>
      <c r="F7" s="16"/>
      <c r="G7" s="2"/>
      <c r="H7" s="70"/>
      <c r="I7" s="71"/>
      <c r="J7" s="72"/>
      <c r="K7" s="72"/>
      <c r="L7" s="73"/>
      <c r="M7" s="15"/>
      <c r="N7" s="15"/>
      <c r="O7" s="16"/>
      <c r="Q7" s="120" t="s">
        <v>157</v>
      </c>
      <c r="R7" s="15"/>
      <c r="S7" s="15"/>
      <c r="T7" s="15"/>
      <c r="U7" s="15"/>
      <c r="V7" s="16"/>
    </row>
    <row r="8" spans="1:22" ht="18.75">
      <c r="A8" s="475" t="s">
        <v>14</v>
      </c>
      <c r="B8" s="476"/>
      <c r="C8" s="476"/>
      <c r="D8" s="11"/>
      <c r="E8" s="2"/>
      <c r="F8" s="7"/>
      <c r="G8" s="2"/>
      <c r="H8" s="22" t="s">
        <v>89</v>
      </c>
      <c r="I8" s="2"/>
      <c r="J8" s="2"/>
      <c r="K8" s="2"/>
      <c r="L8" s="2"/>
      <c r="M8" s="2"/>
      <c r="N8" s="2"/>
      <c r="O8" s="7"/>
      <c r="Q8" s="121"/>
      <c r="R8" s="122"/>
      <c r="S8" s="122"/>
      <c r="T8" s="122"/>
      <c r="U8" s="122"/>
      <c r="V8" s="123"/>
    </row>
    <row r="9" spans="1:22" ht="18.75">
      <c r="A9" s="415"/>
      <c r="B9" s="11"/>
      <c r="C9" s="11"/>
      <c r="D9" s="11"/>
      <c r="E9" s="2"/>
      <c r="F9" s="7"/>
      <c r="G9" s="2"/>
      <c r="H9" s="22"/>
      <c r="I9" s="2"/>
      <c r="J9" s="2"/>
      <c r="K9" s="2"/>
      <c r="L9" s="2"/>
      <c r="M9" s="2"/>
      <c r="N9" s="2"/>
      <c r="O9" s="7"/>
      <c r="Q9" s="500" t="s">
        <v>158</v>
      </c>
      <c r="R9" s="501"/>
      <c r="S9" s="501"/>
      <c r="T9" s="501"/>
      <c r="U9" s="501"/>
      <c r="V9" s="123"/>
    </row>
    <row r="10" spans="1:22" ht="18.75">
      <c r="A10" s="475" t="s">
        <v>13</v>
      </c>
      <c r="B10" s="476"/>
      <c r="C10" s="476"/>
      <c r="D10" s="11"/>
      <c r="E10" s="2"/>
      <c r="F10" s="7"/>
      <c r="G10" s="2"/>
      <c r="H10" s="22" t="s">
        <v>83</v>
      </c>
      <c r="I10" s="2"/>
      <c r="J10" s="2"/>
      <c r="K10" s="91">
        <v>9</v>
      </c>
      <c r="L10" s="2" t="s">
        <v>59</v>
      </c>
      <c r="M10" s="2"/>
      <c r="N10" s="12"/>
      <c r="O10" s="7"/>
      <c r="Q10" s="500" t="s">
        <v>159</v>
      </c>
      <c r="R10" s="501"/>
      <c r="S10" s="501"/>
      <c r="T10" s="501"/>
      <c r="U10" s="501"/>
      <c r="V10" s="123"/>
    </row>
    <row r="11" spans="1:22" ht="18.75">
      <c r="A11" s="415"/>
      <c r="B11" s="11"/>
      <c r="C11" s="11"/>
      <c r="D11" s="11"/>
      <c r="E11" s="2"/>
      <c r="F11" s="7"/>
      <c r="G11" s="2"/>
      <c r="H11" s="22"/>
      <c r="I11" s="2"/>
      <c r="J11" s="2"/>
      <c r="K11" s="76"/>
      <c r="L11" s="2"/>
      <c r="M11" s="2"/>
      <c r="N11" s="2"/>
      <c r="O11" s="7"/>
      <c r="Q11" s="500" t="s">
        <v>160</v>
      </c>
      <c r="R11" s="501"/>
      <c r="S11" s="501"/>
      <c r="T11" s="501"/>
      <c r="U11" s="501"/>
      <c r="V11" s="502"/>
    </row>
    <row r="12" spans="1:22" ht="18.75">
      <c r="A12" s="415" t="s">
        <v>111</v>
      </c>
      <c r="B12" s="11"/>
      <c r="C12" s="11"/>
      <c r="D12" s="11"/>
      <c r="E12" s="2"/>
      <c r="F12" s="7"/>
      <c r="G12" s="2"/>
      <c r="H12" s="22"/>
      <c r="I12" s="2"/>
      <c r="J12" s="2"/>
      <c r="K12" s="76"/>
      <c r="L12" s="2"/>
      <c r="M12" s="2"/>
      <c r="N12" s="2"/>
      <c r="O12" s="7"/>
      <c r="Q12" s="500" t="s">
        <v>161</v>
      </c>
      <c r="R12" s="501"/>
      <c r="S12" s="501"/>
      <c r="T12" s="501"/>
      <c r="U12" s="501"/>
      <c r="V12" s="502"/>
    </row>
    <row r="13" spans="1:22" ht="18.75">
      <c r="A13" s="475"/>
      <c r="B13" s="476"/>
      <c r="C13" s="476"/>
      <c r="D13" s="11"/>
      <c r="E13" s="2"/>
      <c r="F13" s="7"/>
      <c r="G13" s="2"/>
      <c r="H13" s="22" t="s">
        <v>93</v>
      </c>
      <c r="I13" s="2"/>
      <c r="J13" s="2"/>
      <c r="K13" s="92"/>
      <c r="L13" s="82">
        <v>23</v>
      </c>
      <c r="M13" s="2" t="s">
        <v>59</v>
      </c>
      <c r="N13" s="2"/>
      <c r="O13" s="7"/>
      <c r="Q13" s="500" t="s">
        <v>163</v>
      </c>
      <c r="R13" s="501"/>
      <c r="S13" s="501"/>
      <c r="T13" s="501"/>
      <c r="U13" s="501"/>
      <c r="V13" s="502"/>
    </row>
    <row r="14" spans="1:22" ht="18.75">
      <c r="A14" s="22"/>
      <c r="B14" s="2"/>
      <c r="C14" s="2"/>
      <c r="D14" s="2"/>
      <c r="E14" s="2"/>
      <c r="F14" s="7"/>
      <c r="G14" s="2"/>
      <c r="H14" s="22" t="s">
        <v>94</v>
      </c>
      <c r="I14" s="2"/>
      <c r="J14" s="2"/>
      <c r="K14" s="92"/>
      <c r="L14" s="82">
        <v>27</v>
      </c>
      <c r="M14" s="2" t="s">
        <v>59</v>
      </c>
      <c r="N14" s="2"/>
      <c r="O14" s="7"/>
      <c r="Q14" s="500" t="s">
        <v>162</v>
      </c>
      <c r="R14" s="501"/>
      <c r="S14" s="501"/>
      <c r="T14" s="501"/>
      <c r="U14" s="501"/>
      <c r="V14" s="502"/>
    </row>
    <row r="15" spans="1:22" ht="19.5" thickBot="1">
      <c r="A15" s="475" t="s">
        <v>74</v>
      </c>
      <c r="B15" s="476"/>
      <c r="C15" s="476"/>
      <c r="D15" s="11"/>
      <c r="E15" s="2"/>
      <c r="F15" s="7"/>
      <c r="G15" s="2"/>
      <c r="H15" s="22" t="s">
        <v>95</v>
      </c>
      <c r="I15" s="2"/>
      <c r="J15" s="2"/>
      <c r="K15" s="92"/>
      <c r="L15" s="82">
        <v>38</v>
      </c>
      <c r="M15" s="2" t="s">
        <v>59</v>
      </c>
      <c r="N15" s="2"/>
      <c r="O15" s="7"/>
      <c r="Q15" s="503"/>
      <c r="R15" s="504"/>
      <c r="S15" s="504"/>
      <c r="T15" s="504"/>
      <c r="U15" s="504"/>
      <c r="V15" s="505"/>
    </row>
    <row r="16" spans="1:22" ht="19.5" thickBot="1">
      <c r="A16" s="22"/>
      <c r="B16" s="2"/>
      <c r="C16" s="2"/>
      <c r="D16" s="2"/>
      <c r="E16" s="2"/>
      <c r="F16" s="7"/>
      <c r="G16" s="2"/>
      <c r="H16" s="22" t="s">
        <v>96</v>
      </c>
      <c r="I16" s="2"/>
      <c r="J16" s="2"/>
      <c r="K16" s="92"/>
      <c r="L16" s="82">
        <v>41</v>
      </c>
      <c r="M16" s="2" t="s">
        <v>59</v>
      </c>
      <c r="N16" s="2"/>
      <c r="O16" s="7"/>
      <c r="Q16" s="506"/>
      <c r="R16" s="506"/>
      <c r="S16" s="506"/>
      <c r="T16" s="506"/>
      <c r="U16" s="506"/>
      <c r="V16" s="506"/>
    </row>
    <row r="17" spans="1:22" ht="18.75" customHeight="1">
      <c r="A17" s="24"/>
      <c r="B17" s="25"/>
      <c r="C17" s="25"/>
      <c r="D17" s="2"/>
      <c r="E17" s="2"/>
      <c r="F17" s="7"/>
      <c r="G17" s="2"/>
      <c r="H17" s="22" t="s">
        <v>97</v>
      </c>
      <c r="I17" s="2"/>
      <c r="J17" s="2"/>
      <c r="K17" s="92"/>
      <c r="L17" s="82">
        <v>43</v>
      </c>
      <c r="M17" s="2" t="s">
        <v>59</v>
      </c>
      <c r="N17" s="2"/>
      <c r="O17" s="7"/>
      <c r="Q17" s="507" t="s">
        <v>276</v>
      </c>
      <c r="R17" s="508"/>
      <c r="S17" s="508"/>
      <c r="T17" s="508"/>
      <c r="U17" s="508"/>
      <c r="V17" s="509"/>
    </row>
    <row r="18" spans="1:22" ht="18.75" customHeight="1">
      <c r="A18" s="475" t="s">
        <v>18</v>
      </c>
      <c r="B18" s="476"/>
      <c r="C18" s="476"/>
      <c r="D18" s="2"/>
      <c r="E18" s="2"/>
      <c r="F18" s="7"/>
      <c r="G18" s="2"/>
      <c r="H18" s="22"/>
      <c r="I18" s="2"/>
      <c r="J18" s="2"/>
      <c r="K18" s="2"/>
      <c r="L18" s="2"/>
      <c r="M18" s="2"/>
      <c r="N18" s="2"/>
      <c r="O18" s="7"/>
      <c r="Q18" s="510"/>
      <c r="R18" s="511"/>
      <c r="S18" s="511"/>
      <c r="T18" s="511"/>
      <c r="U18" s="511"/>
      <c r="V18" s="512"/>
    </row>
    <row r="19" spans="1:22" ht="18.75" customHeight="1">
      <c r="A19" s="22"/>
      <c r="B19" s="2"/>
      <c r="C19" s="2"/>
      <c r="D19" s="2"/>
      <c r="E19" s="2"/>
      <c r="F19" s="7"/>
      <c r="G19" s="2"/>
      <c r="H19" s="75" t="s">
        <v>90</v>
      </c>
      <c r="I19" s="2"/>
      <c r="J19" s="2"/>
      <c r="K19" s="82">
        <v>3.9</v>
      </c>
      <c r="L19" s="2" t="s">
        <v>59</v>
      </c>
      <c r="M19" s="2"/>
      <c r="N19" s="2"/>
      <c r="O19" s="7"/>
      <c r="Q19" s="510"/>
      <c r="R19" s="511"/>
      <c r="S19" s="511"/>
      <c r="T19" s="511"/>
      <c r="U19" s="511"/>
      <c r="V19" s="512"/>
    </row>
    <row r="20" spans="1:22" ht="15.75" customHeight="1">
      <c r="A20" s="22"/>
      <c r="B20" s="2"/>
      <c r="C20" s="2"/>
      <c r="D20" s="2"/>
      <c r="E20" s="2"/>
      <c r="F20" s="7"/>
      <c r="G20" s="2"/>
      <c r="H20" s="22"/>
      <c r="I20" s="2"/>
      <c r="J20" s="2"/>
      <c r="K20" s="2"/>
      <c r="L20" s="2"/>
      <c r="M20" s="2"/>
      <c r="N20" s="2"/>
      <c r="O20" s="7"/>
      <c r="Q20" s="510"/>
      <c r="R20" s="511"/>
      <c r="S20" s="511"/>
      <c r="T20" s="511"/>
      <c r="U20" s="511"/>
      <c r="V20" s="512"/>
    </row>
    <row r="21" spans="1:22" ht="17.25" customHeight="1">
      <c r="A21" s="22"/>
      <c r="B21" s="2"/>
      <c r="C21" s="2"/>
      <c r="D21" s="2"/>
      <c r="E21" s="2"/>
      <c r="F21" s="7"/>
      <c r="G21" s="2"/>
      <c r="H21" s="75" t="s">
        <v>105</v>
      </c>
      <c r="I21" s="2"/>
      <c r="J21" s="2"/>
      <c r="K21" s="82">
        <v>27.5</v>
      </c>
      <c r="L21" s="2" t="s">
        <v>59</v>
      </c>
      <c r="M21" s="2"/>
      <c r="N21" s="2"/>
      <c r="O21" s="7"/>
      <c r="Q21" s="510"/>
      <c r="R21" s="511"/>
      <c r="S21" s="511"/>
      <c r="T21" s="511"/>
      <c r="U21" s="511"/>
      <c r="V21" s="512"/>
    </row>
    <row r="22" spans="1:22" ht="8.25" customHeight="1" thickBot="1">
      <c r="A22" s="29"/>
      <c r="B22" s="19"/>
      <c r="C22" s="19"/>
      <c r="D22" s="19"/>
      <c r="E22" s="19"/>
      <c r="F22" s="20"/>
      <c r="G22" s="2"/>
      <c r="H22" s="29"/>
      <c r="I22" s="19"/>
      <c r="J22" s="19"/>
      <c r="K22" s="19"/>
      <c r="L22" s="19"/>
      <c r="M22" s="19"/>
      <c r="N22" s="19"/>
      <c r="O22" s="20"/>
      <c r="Q22" s="510"/>
      <c r="R22" s="511"/>
      <c r="S22" s="511"/>
      <c r="T22" s="511"/>
      <c r="U22" s="511"/>
      <c r="V22" s="512"/>
    </row>
    <row r="23" spans="1:22" ht="13.5" customHeight="1" thickBot="1">
      <c r="A23" s="22"/>
      <c r="B23" s="2"/>
      <c r="C23" s="2"/>
      <c r="D23" s="2"/>
      <c r="E23" s="2"/>
      <c r="F23" s="2"/>
      <c r="G23" s="2"/>
      <c r="H23" s="2"/>
      <c r="I23" s="2"/>
      <c r="J23" s="2"/>
      <c r="K23" s="2"/>
      <c r="L23" s="2"/>
      <c r="M23" s="2"/>
      <c r="N23" s="2"/>
      <c r="O23" s="7"/>
      <c r="Q23" s="510"/>
      <c r="R23" s="511"/>
      <c r="S23" s="511"/>
      <c r="T23" s="511"/>
      <c r="U23" s="511"/>
      <c r="V23" s="512"/>
    </row>
    <row r="24" spans="1:22" ht="15.75" customHeight="1" thickBot="1">
      <c r="A24" s="22"/>
      <c r="B24" s="2"/>
      <c r="C24" s="2"/>
      <c r="D24" s="86" t="s">
        <v>22</v>
      </c>
      <c r="E24" s="332" t="s">
        <v>21</v>
      </c>
      <c r="F24" s="416" t="s">
        <v>23</v>
      </c>
      <c r="G24" s="2"/>
      <c r="H24" s="477" t="s">
        <v>258</v>
      </c>
      <c r="I24" s="478"/>
      <c r="J24" s="478"/>
      <c r="K24" s="478"/>
      <c r="L24" s="478"/>
      <c r="M24" s="478"/>
      <c r="N24" s="478"/>
      <c r="O24" s="479"/>
      <c r="Q24" s="510"/>
      <c r="R24" s="511"/>
      <c r="S24" s="511"/>
      <c r="T24" s="511"/>
      <c r="U24" s="511"/>
      <c r="V24" s="512"/>
    </row>
    <row r="25" spans="1:22" ht="15" customHeight="1">
      <c r="A25" s="334" t="s">
        <v>19</v>
      </c>
      <c r="B25" s="15"/>
      <c r="C25" s="16"/>
      <c r="D25" s="419">
        <f>IF(Calcoli!G1&lt;6,(E25+F25)-((E25+F25)/100*Calcoli!$X$6),0)</f>
        <v>128</v>
      </c>
      <c r="E25" s="87">
        <f>Calcoli!K19+Calcoli!K29+Calcoli!K39+Calcoli!K51+Calcoli!K65+Calcoli!Q19+Calcoli!Q29+Calcoli!Q39+Calcoli!Q51+Calcoli!Q65+Calcoli!K130+Calcoli!K140+Calcoli!K150+Calcoli!K162+Calcoli!K176+Calcoli!K188+Calcoli!K195+Calcoli!K203+Calcoli!K211+Calcoli!K219</f>
        <v>118</v>
      </c>
      <c r="F25" s="26">
        <f>IF(Calcoli!$K$9&lt;3,Calcoli!$U$27,Calcoli!W27)</f>
        <v>10</v>
      </c>
      <c r="G25" s="2"/>
      <c r="H25" s="480"/>
      <c r="I25" s="481"/>
      <c r="J25" s="481"/>
      <c r="K25" s="481"/>
      <c r="L25" s="481"/>
      <c r="M25" s="481"/>
      <c r="N25" s="481"/>
      <c r="O25" s="482"/>
      <c r="Q25" s="510"/>
      <c r="R25" s="511"/>
      <c r="S25" s="511"/>
      <c r="T25" s="511"/>
      <c r="U25" s="511"/>
      <c r="V25" s="512"/>
    </row>
    <row r="26" spans="1:22" ht="15.75" thickBot="1">
      <c r="A26" s="330" t="s">
        <v>20</v>
      </c>
      <c r="B26" s="19"/>
      <c r="C26" s="20"/>
      <c r="D26" s="419">
        <f>IF(Calcoli!G1&lt;6,(E26+F26)-((E26+F26)/100*Calcoli!$X$6),0)</f>
        <v>46</v>
      </c>
      <c r="E26" s="333">
        <f>Calcoli!L19+Calcoli!L29+Calcoli!L39+Calcoli!L51+Calcoli!L65+Calcoli!R19+Calcoli!R29+Calcoli!R39+Calcoli!R51+Calcoli!R65+Calcoli!L130+Calcoli!L140+Calcoli!L150+Calcoli!L162+Calcoli!L176+Calcoli!L188+Calcoli!L195+Calcoli!L203+Calcoli!L211+Calcoli!L219</f>
        <v>36</v>
      </c>
      <c r="F26" s="32">
        <f>IF(Calcoli!$K$9&lt;3,Calcoli!$U$27,Calcoli!W27)</f>
        <v>10</v>
      </c>
      <c r="G26" s="2"/>
      <c r="H26" s="2"/>
      <c r="I26" s="2"/>
      <c r="J26" s="2"/>
      <c r="K26" s="2"/>
      <c r="L26" s="2"/>
      <c r="M26" s="2"/>
      <c r="N26" s="2"/>
      <c r="O26" s="7"/>
      <c r="Q26" s="510"/>
      <c r="R26" s="511"/>
      <c r="S26" s="511"/>
      <c r="T26" s="511"/>
      <c r="U26" s="511"/>
      <c r="V26" s="512"/>
    </row>
    <row r="27" spans="1:22" ht="15.75" thickBot="1">
      <c r="A27" s="336"/>
      <c r="B27" s="2"/>
      <c r="C27" s="2"/>
      <c r="D27" s="35"/>
      <c r="E27" s="418"/>
      <c r="F27" s="418"/>
      <c r="G27" s="2"/>
      <c r="H27" s="2"/>
      <c r="I27" s="2"/>
      <c r="J27" s="2"/>
      <c r="K27" s="2"/>
      <c r="L27" s="2"/>
      <c r="M27" s="2"/>
      <c r="N27" s="2"/>
      <c r="O27" s="7"/>
      <c r="Q27" s="510"/>
      <c r="R27" s="511"/>
      <c r="S27" s="511"/>
      <c r="T27" s="511"/>
      <c r="U27" s="511"/>
      <c r="V27" s="512"/>
    </row>
    <row r="28" spans="1:22" ht="30" customHeight="1" thickBot="1">
      <c r="A28" s="424" t="s">
        <v>266</v>
      </c>
      <c r="B28" s="426"/>
      <c r="C28" s="420"/>
      <c r="D28" s="426"/>
      <c r="E28" s="426"/>
      <c r="F28" s="425"/>
      <c r="G28" s="2"/>
      <c r="H28" s="2"/>
      <c r="I28" s="2"/>
      <c r="J28" s="2"/>
      <c r="K28" s="2"/>
      <c r="L28" s="2"/>
      <c r="M28" s="2"/>
      <c r="N28" s="2"/>
      <c r="O28" s="7"/>
      <c r="Q28" s="510"/>
      <c r="R28" s="511"/>
      <c r="S28" s="511"/>
      <c r="T28" s="511"/>
      <c r="U28" s="511"/>
      <c r="V28" s="512"/>
    </row>
    <row r="29" spans="1:22" ht="12.75" customHeight="1" thickBot="1">
      <c r="A29" s="330"/>
      <c r="B29" s="19"/>
      <c r="C29" s="19"/>
      <c r="D29" s="331"/>
      <c r="E29" s="31"/>
      <c r="F29" s="31"/>
      <c r="G29" s="19"/>
      <c r="H29" s="19"/>
      <c r="I29" s="19"/>
      <c r="J29" s="19"/>
      <c r="K29" s="19"/>
      <c r="L29" s="19"/>
      <c r="M29" s="19"/>
      <c r="N29" s="19"/>
      <c r="O29" s="20"/>
      <c r="Q29" s="513"/>
      <c r="R29" s="514"/>
      <c r="S29" s="514"/>
      <c r="T29" s="514"/>
      <c r="U29" s="514"/>
      <c r="V29" s="515"/>
    </row>
    <row r="30" spans="1:22" ht="10.5" customHeight="1" thickBot="1">
      <c r="A30" s="34"/>
      <c r="B30" s="2"/>
      <c r="C30" s="2"/>
      <c r="D30" s="35"/>
      <c r="E30" s="323"/>
      <c r="F30" s="323"/>
      <c r="S30" s="74"/>
    </row>
    <row r="31" spans="1:22" ht="9.75" customHeight="1">
      <c r="A31" s="23"/>
      <c r="B31" s="15"/>
      <c r="C31" s="15"/>
      <c r="D31" s="15"/>
      <c r="E31" s="15"/>
      <c r="F31" s="15"/>
      <c r="G31" s="15"/>
      <c r="H31" s="15"/>
      <c r="I31" s="15"/>
      <c r="J31" s="15"/>
      <c r="K31" s="16"/>
      <c r="S31" s="74"/>
    </row>
    <row r="32" spans="1:22" ht="15.75" customHeight="1">
      <c r="A32" s="336" t="s">
        <v>247</v>
      </c>
      <c r="B32" s="2"/>
      <c r="C32" s="2"/>
      <c r="D32" s="2"/>
      <c r="E32" s="2"/>
      <c r="F32" s="2"/>
      <c r="G32" s="2"/>
      <c r="H32" s="2"/>
      <c r="I32" s="2"/>
      <c r="J32" s="2"/>
      <c r="K32" s="7"/>
      <c r="S32" s="74"/>
    </row>
    <row r="33" spans="1:19" ht="6.75" customHeight="1">
      <c r="A33" s="22"/>
      <c r="B33" s="2"/>
      <c r="C33" s="2"/>
      <c r="D33" s="2"/>
      <c r="E33" s="2"/>
      <c r="F33" s="2"/>
      <c r="G33" s="2"/>
      <c r="H33" s="2"/>
      <c r="I33" s="2"/>
      <c r="J33" s="2"/>
      <c r="K33" s="7"/>
      <c r="S33" s="74"/>
    </row>
    <row r="34" spans="1:19" s="37" customFormat="1" ht="22.5" customHeight="1">
      <c r="A34" s="337" t="s">
        <v>34</v>
      </c>
      <c r="B34" s="93"/>
      <c r="C34" s="79">
        <v>1111</v>
      </c>
      <c r="D34" s="36" t="s">
        <v>61</v>
      </c>
      <c r="E34" s="58"/>
      <c r="F34" s="499" t="s">
        <v>25</v>
      </c>
      <c r="G34" s="499"/>
      <c r="H34" s="499"/>
      <c r="I34" s="499"/>
      <c r="J34" s="499"/>
      <c r="K34" s="338"/>
    </row>
    <row r="35" spans="1:19" s="41" customFormat="1" ht="15.75">
      <c r="A35" s="328" t="s">
        <v>26</v>
      </c>
      <c r="B35" s="11"/>
      <c r="C35" s="80">
        <f>$C$4*C34</f>
        <v>554389</v>
      </c>
      <c r="D35" s="320" t="s">
        <v>24</v>
      </c>
      <c r="E35" s="11"/>
      <c r="F35" s="11"/>
      <c r="G35" s="11"/>
      <c r="H35" s="11"/>
      <c r="I35" s="11"/>
      <c r="J35" s="11"/>
      <c r="K35" s="186"/>
    </row>
    <row r="36" spans="1:19" s="41" customFormat="1" ht="15.75">
      <c r="A36" s="328" t="s">
        <v>27</v>
      </c>
      <c r="B36" s="11"/>
      <c r="C36" s="79">
        <v>1000000</v>
      </c>
      <c r="D36" s="320" t="s">
        <v>24</v>
      </c>
      <c r="E36" s="67" t="s">
        <v>76</v>
      </c>
      <c r="F36" s="67"/>
      <c r="G36" s="67"/>
      <c r="H36" s="67"/>
      <c r="I36" s="320"/>
      <c r="J36" s="11"/>
      <c r="K36" s="186"/>
    </row>
    <row r="37" spans="1:19" s="41" customFormat="1" ht="16.5" thickBot="1">
      <c r="A37" s="328"/>
      <c r="B37" s="11"/>
      <c r="C37" s="94"/>
      <c r="D37" s="322"/>
      <c r="E37" s="322"/>
      <c r="F37" s="322"/>
      <c r="G37" s="322"/>
      <c r="H37" s="322"/>
      <c r="I37" s="322"/>
      <c r="J37" s="11"/>
      <c r="K37" s="186"/>
    </row>
    <row r="38" spans="1:19" s="41" customFormat="1" ht="15.75">
      <c r="A38" s="185" t="s">
        <v>267</v>
      </c>
      <c r="B38" s="45"/>
      <c r="C38" s="318">
        <f>Autoconsumo!D119</f>
        <v>506843.99923733057</v>
      </c>
      <c r="D38" s="320" t="s">
        <v>24</v>
      </c>
      <c r="E38" s="453">
        <f>(Autoconsumo!X128)</f>
        <v>0.66249196920737285</v>
      </c>
      <c r="F38" s="493" t="s">
        <v>275</v>
      </c>
      <c r="G38" s="494"/>
      <c r="H38" s="494"/>
      <c r="I38" s="494"/>
      <c r="J38" s="495"/>
      <c r="K38" s="186"/>
    </row>
    <row r="39" spans="1:19" s="41" customFormat="1" ht="32.25" customHeight="1" thickBot="1">
      <c r="A39" s="337" t="s">
        <v>274</v>
      </c>
      <c r="B39" s="45"/>
      <c r="C39" s="438"/>
      <c r="D39" s="36" t="s">
        <v>59</v>
      </c>
      <c r="E39" s="45"/>
      <c r="F39" s="496"/>
      <c r="G39" s="497"/>
      <c r="H39" s="497"/>
      <c r="I39" s="497"/>
      <c r="J39" s="498"/>
      <c r="K39" s="186"/>
    </row>
    <row r="40" spans="1:19" s="41" customFormat="1" ht="16.5" thickBot="1">
      <c r="A40" s="185" t="s">
        <v>29</v>
      </c>
      <c r="B40" s="45"/>
      <c r="C40" s="318">
        <f>Autoconsumo!E119</f>
        <v>47545.000762669428</v>
      </c>
      <c r="D40" s="320" t="s">
        <v>24</v>
      </c>
      <c r="E40" s="45"/>
      <c r="F40" s="45"/>
      <c r="G40" s="45"/>
      <c r="H40" s="45"/>
      <c r="I40" s="45"/>
      <c r="J40" s="45"/>
      <c r="K40" s="186"/>
    </row>
    <row r="41" spans="1:19" s="41" customFormat="1" ht="15.75">
      <c r="A41" s="185" t="s">
        <v>30</v>
      </c>
      <c r="B41" s="11"/>
      <c r="C41" s="318">
        <f>Autoconsumo!F119</f>
        <v>493156.00076266943</v>
      </c>
      <c r="D41" s="320" t="s">
        <v>24</v>
      </c>
      <c r="E41" s="11"/>
      <c r="F41" s="102" t="s">
        <v>104</v>
      </c>
      <c r="G41" s="103"/>
      <c r="H41" s="104"/>
      <c r="I41" s="487">
        <f>C4*C43</f>
        <v>573850</v>
      </c>
      <c r="J41" s="488"/>
      <c r="K41" s="186"/>
    </row>
    <row r="42" spans="1:19" s="41" customFormat="1" ht="16.5" thickBot="1">
      <c r="A42" s="185"/>
      <c r="B42" s="11"/>
      <c r="C42" s="76"/>
      <c r="D42" s="320"/>
      <c r="E42" s="11"/>
      <c r="F42" s="105" t="s">
        <v>128</v>
      </c>
      <c r="G42" s="59"/>
      <c r="H42" s="100"/>
      <c r="I42" s="483">
        <f>C56+C57</f>
        <v>50</v>
      </c>
      <c r="J42" s="484"/>
      <c r="K42" s="186"/>
    </row>
    <row r="43" spans="1:19" s="41" customFormat="1" ht="16.5" thickBot="1">
      <c r="A43" s="185" t="s">
        <v>31</v>
      </c>
      <c r="B43" s="11"/>
      <c r="C43" s="90">
        <v>1150</v>
      </c>
      <c r="D43" s="320" t="s">
        <v>32</v>
      </c>
      <c r="E43" s="101"/>
      <c r="F43" s="108"/>
      <c r="G43" s="106" t="s">
        <v>22</v>
      </c>
      <c r="H43" s="107"/>
      <c r="I43" s="485">
        <f>I41+I42</f>
        <v>573900</v>
      </c>
      <c r="J43" s="486"/>
      <c r="K43" s="186"/>
    </row>
    <row r="44" spans="1:19" s="41" customFormat="1" ht="7.5" customHeight="1">
      <c r="A44" s="185"/>
      <c r="B44" s="11"/>
      <c r="C44" s="126"/>
      <c r="D44" s="320"/>
      <c r="E44" s="101"/>
      <c r="F44" s="81"/>
      <c r="G44" s="101"/>
      <c r="H44" s="81"/>
      <c r="I44" s="128"/>
      <c r="J44" s="128"/>
      <c r="K44" s="186"/>
    </row>
    <row r="45" spans="1:19" s="41" customFormat="1" ht="15.75">
      <c r="A45" s="185" t="s">
        <v>174</v>
      </c>
      <c r="B45" s="11"/>
      <c r="C45" s="126"/>
      <c r="D45" s="127"/>
      <c r="E45" s="101"/>
      <c r="F45" s="81"/>
      <c r="G45" s="101"/>
      <c r="H45" s="81"/>
      <c r="I45" s="128"/>
      <c r="J45" s="128"/>
      <c r="K45" s="186"/>
    </row>
    <row r="46" spans="1:19" s="41" customFormat="1" ht="16.5" thickBot="1">
      <c r="A46" s="185"/>
      <c r="B46" s="11"/>
      <c r="C46" s="126"/>
      <c r="D46" s="127"/>
      <c r="E46" s="101"/>
      <c r="F46" s="81"/>
      <c r="G46" s="101"/>
      <c r="H46" s="81"/>
      <c r="I46" s="128"/>
      <c r="J46" s="128"/>
      <c r="K46" s="186"/>
    </row>
    <row r="47" spans="1:19" s="41" customFormat="1" ht="24.75" customHeight="1" thickBot="1">
      <c r="A47" s="439" t="s">
        <v>175</v>
      </c>
      <c r="B47" s="184"/>
      <c r="C47" s="450">
        <f>Calcoli!AC40</f>
        <v>573900</v>
      </c>
      <c r="D47" s="36" t="s">
        <v>32</v>
      </c>
      <c r="E47" s="101"/>
      <c r="F47" s="131" t="s">
        <v>257</v>
      </c>
      <c r="G47" s="130"/>
      <c r="H47" s="130"/>
      <c r="I47" s="467">
        <f>Finanziamento!J6</f>
        <v>83555.887680647662</v>
      </c>
      <c r="J47" s="468"/>
      <c r="K47" s="186"/>
    </row>
    <row r="48" spans="1:19" s="41" customFormat="1" ht="16.5" thickBot="1">
      <c r="A48" s="185" t="s">
        <v>176</v>
      </c>
      <c r="B48" s="186"/>
      <c r="C48" s="90">
        <v>10</v>
      </c>
      <c r="D48" s="320" t="s">
        <v>154</v>
      </c>
      <c r="E48" s="101"/>
      <c r="F48" s="131" t="s">
        <v>179</v>
      </c>
      <c r="G48" s="130"/>
      <c r="H48" s="130"/>
      <c r="I48" s="467">
        <f>Finanziamento!E11</f>
        <v>261658.87680647662</v>
      </c>
      <c r="J48" s="468"/>
      <c r="K48" s="186"/>
    </row>
    <row r="49" spans="1:11" s="41" customFormat="1" ht="16.5" thickBot="1">
      <c r="A49" s="187" t="s">
        <v>177</v>
      </c>
      <c r="B49" s="188"/>
      <c r="C49" s="129">
        <v>8</v>
      </c>
      <c r="D49" s="320" t="s">
        <v>59</v>
      </c>
      <c r="E49" s="101"/>
      <c r="F49" s="489" t="s">
        <v>208</v>
      </c>
      <c r="G49" s="490"/>
      <c r="H49" s="490"/>
      <c r="I49" s="490"/>
      <c r="J49" s="491"/>
      <c r="K49" s="186"/>
    </row>
    <row r="50" spans="1:11" s="41" customFormat="1" ht="16.5" thickBot="1">
      <c r="A50" s="185"/>
      <c r="B50" s="11"/>
      <c r="C50" s="126"/>
      <c r="D50" s="127"/>
      <c r="E50" s="101"/>
      <c r="F50" s="81"/>
      <c r="G50" s="101"/>
      <c r="H50" s="81"/>
      <c r="I50" s="128"/>
      <c r="J50" s="128"/>
      <c r="K50" s="186"/>
    </row>
    <row r="51" spans="1:11" s="41" customFormat="1" ht="15.75">
      <c r="A51" s="183" t="s">
        <v>199</v>
      </c>
      <c r="B51" s="184"/>
      <c r="C51" s="193">
        <v>9000</v>
      </c>
      <c r="D51" s="320" t="s">
        <v>32</v>
      </c>
      <c r="E51" s="101" t="s">
        <v>202</v>
      </c>
      <c r="F51" s="81"/>
      <c r="G51" s="101"/>
      <c r="H51" s="81"/>
      <c r="I51" s="128"/>
      <c r="J51" s="128"/>
      <c r="K51" s="186"/>
    </row>
    <row r="52" spans="1:11" s="41" customFormat="1" ht="16.5" thickBot="1">
      <c r="A52" s="185" t="s">
        <v>201</v>
      </c>
      <c r="B52" s="186"/>
      <c r="C52" s="194">
        <v>9000</v>
      </c>
      <c r="D52" s="320" t="s">
        <v>32</v>
      </c>
      <c r="E52" s="101"/>
      <c r="F52" s="81"/>
      <c r="G52" s="321"/>
      <c r="H52" s="474"/>
      <c r="I52" s="474"/>
      <c r="J52" s="321"/>
      <c r="K52" s="186"/>
    </row>
    <row r="53" spans="1:11" s="41" customFormat="1" ht="15.75">
      <c r="A53" s="185" t="s">
        <v>81</v>
      </c>
      <c r="B53" s="186"/>
      <c r="C53" s="195">
        <v>2.5</v>
      </c>
      <c r="D53" s="320" t="s">
        <v>59</v>
      </c>
      <c r="E53" s="81"/>
      <c r="F53" s="102" t="s">
        <v>141</v>
      </c>
      <c r="G53" s="109"/>
      <c r="H53" s="109"/>
      <c r="I53" s="487">
        <f>X102</f>
        <v>1988183.4970058131</v>
      </c>
      <c r="J53" s="492"/>
      <c r="K53" s="186"/>
    </row>
    <row r="54" spans="1:11" s="41" customFormat="1" ht="16.5" thickBot="1">
      <c r="A54" s="185" t="s">
        <v>77</v>
      </c>
      <c r="B54" s="186"/>
      <c r="C54" s="196">
        <v>0</v>
      </c>
      <c r="D54" s="320" t="s">
        <v>32</v>
      </c>
      <c r="E54" s="11"/>
      <c r="F54" s="110" t="s">
        <v>142</v>
      </c>
      <c r="G54" s="106"/>
      <c r="H54" s="106"/>
      <c r="I54" s="472">
        <f>AC102</f>
        <v>2756034.2846620344</v>
      </c>
      <c r="J54" s="473"/>
      <c r="K54" s="186"/>
    </row>
    <row r="55" spans="1:11" s="41" customFormat="1" ht="15.75">
      <c r="A55" s="185" t="s">
        <v>78</v>
      </c>
      <c r="B55" s="186"/>
      <c r="C55" s="197">
        <v>0</v>
      </c>
      <c r="D55" s="320" t="s">
        <v>32</v>
      </c>
      <c r="E55" s="81"/>
      <c r="F55" s="81"/>
      <c r="G55" s="81"/>
      <c r="H55" s="81"/>
      <c r="I55" s="81"/>
      <c r="J55" s="11"/>
      <c r="K55" s="186"/>
    </row>
    <row r="56" spans="1:11" s="41" customFormat="1" ht="15.75">
      <c r="A56" s="185" t="s">
        <v>126</v>
      </c>
      <c r="B56" s="186"/>
      <c r="C56" s="196">
        <v>0</v>
      </c>
      <c r="D56" s="320" t="s">
        <v>32</v>
      </c>
      <c r="E56" s="45"/>
      <c r="F56" s="11"/>
      <c r="G56" s="11"/>
      <c r="H56" s="11"/>
      <c r="I56" s="11"/>
      <c r="J56" s="11"/>
      <c r="K56" s="186"/>
    </row>
    <row r="57" spans="1:11" s="41" customFormat="1" ht="15.75">
      <c r="A57" s="185" t="s">
        <v>127</v>
      </c>
      <c r="B57" s="186"/>
      <c r="C57" s="194">
        <v>50</v>
      </c>
      <c r="D57" s="320" t="s">
        <v>32</v>
      </c>
      <c r="E57" s="466" t="s">
        <v>148</v>
      </c>
      <c r="F57" s="466"/>
      <c r="G57" s="466"/>
      <c r="H57" s="466"/>
      <c r="I57" s="466"/>
      <c r="J57" s="466"/>
      <c r="K57" s="186"/>
    </row>
    <row r="58" spans="1:11" s="41" customFormat="1" ht="15.75">
      <c r="A58" s="189" t="s">
        <v>153</v>
      </c>
      <c r="B58" s="190"/>
      <c r="C58" s="408">
        <v>25</v>
      </c>
      <c r="D58" s="320" t="s">
        <v>32</v>
      </c>
      <c r="E58" s="11"/>
      <c r="F58" s="11"/>
      <c r="G58" s="11"/>
      <c r="H58" s="11"/>
      <c r="I58" s="11"/>
      <c r="J58" s="11"/>
      <c r="K58" s="186"/>
    </row>
    <row r="59" spans="1:11" s="41" customFormat="1" ht="15.75">
      <c r="A59" s="191" t="s">
        <v>152</v>
      </c>
      <c r="B59" s="192"/>
      <c r="C59" s="409">
        <v>25</v>
      </c>
      <c r="D59" s="320" t="s">
        <v>154</v>
      </c>
      <c r="E59" s="11"/>
      <c r="F59" s="11"/>
      <c r="G59" s="11"/>
      <c r="H59" s="11"/>
      <c r="I59" s="11"/>
      <c r="J59" s="11"/>
      <c r="K59" s="186"/>
    </row>
    <row r="60" spans="1:11" s="41" customFormat="1" ht="15.75">
      <c r="A60" s="185" t="s">
        <v>33</v>
      </c>
      <c r="B60" s="186"/>
      <c r="C60" s="198">
        <v>0.16500000000000001</v>
      </c>
      <c r="D60" s="320" t="s">
        <v>32</v>
      </c>
      <c r="E60" s="11"/>
      <c r="F60" s="11"/>
      <c r="G60" s="11"/>
      <c r="H60" s="11"/>
      <c r="I60" s="11"/>
      <c r="J60" s="11"/>
      <c r="K60" s="186"/>
    </row>
    <row r="61" spans="1:11" s="41" customFormat="1" ht="15.75">
      <c r="A61" s="185" t="s">
        <v>167</v>
      </c>
      <c r="B61" s="186"/>
      <c r="C61" s="198">
        <v>0.16</v>
      </c>
      <c r="D61" s="320" t="s">
        <v>32</v>
      </c>
      <c r="E61" s="45"/>
      <c r="F61" s="11"/>
      <c r="G61" s="11"/>
      <c r="H61" s="11"/>
      <c r="I61" s="11"/>
      <c r="J61" s="11"/>
      <c r="K61" s="186"/>
    </row>
    <row r="62" spans="1:11" s="41" customFormat="1" ht="15.75">
      <c r="A62" s="185" t="s">
        <v>143</v>
      </c>
      <c r="B62" s="186"/>
      <c r="C62" s="198">
        <v>0.08</v>
      </c>
      <c r="D62" s="320" t="s">
        <v>32</v>
      </c>
      <c r="E62" s="45" t="s">
        <v>168</v>
      </c>
      <c r="F62" s="11"/>
      <c r="G62" s="11"/>
      <c r="H62" s="11"/>
      <c r="I62" s="11"/>
      <c r="J62" s="11"/>
      <c r="K62" s="186"/>
    </row>
    <row r="63" spans="1:11" s="41" customFormat="1" ht="15.75">
      <c r="A63" s="185" t="s">
        <v>80</v>
      </c>
      <c r="B63" s="186"/>
      <c r="C63" s="195">
        <v>0.9</v>
      </c>
      <c r="D63" s="320" t="s">
        <v>59</v>
      </c>
      <c r="E63" s="45" t="s">
        <v>103</v>
      </c>
      <c r="F63" s="11"/>
      <c r="G63" s="11"/>
      <c r="H63" s="11"/>
      <c r="I63" s="11"/>
      <c r="J63" s="11"/>
      <c r="K63" s="186"/>
    </row>
    <row r="64" spans="1:11" s="41" customFormat="1" ht="16.5" thickBot="1">
      <c r="A64" s="187" t="s">
        <v>60</v>
      </c>
      <c r="B64" s="188"/>
      <c r="C64" s="199">
        <v>4</v>
      </c>
      <c r="D64" s="320" t="s">
        <v>59</v>
      </c>
      <c r="E64" s="45" t="s">
        <v>172</v>
      </c>
      <c r="F64" s="11"/>
      <c r="G64" s="11"/>
      <c r="H64" s="11"/>
      <c r="I64" s="11"/>
      <c r="J64" s="11"/>
      <c r="K64" s="186"/>
    </row>
    <row r="65" spans="1:29" s="41" customFormat="1" ht="9" customHeight="1" thickBot="1">
      <c r="A65" s="187"/>
      <c r="B65" s="339"/>
      <c r="C65" s="340"/>
      <c r="D65" s="341"/>
      <c r="E65" s="342"/>
      <c r="F65" s="339"/>
      <c r="G65" s="339"/>
      <c r="H65" s="339"/>
      <c r="I65" s="339"/>
      <c r="J65" s="339"/>
      <c r="K65" s="188"/>
    </row>
    <row r="67" spans="1:29">
      <c r="A67" s="50"/>
      <c r="B67" s="50"/>
      <c r="C67" s="50"/>
      <c r="D67" s="50"/>
      <c r="E67" s="324" t="s">
        <v>38</v>
      </c>
      <c r="F67" s="324" t="s">
        <v>40</v>
      </c>
      <c r="G67" s="324" t="s">
        <v>41</v>
      </c>
      <c r="H67" s="324" t="s">
        <v>42</v>
      </c>
      <c r="I67" s="324" t="s">
        <v>43</v>
      </c>
      <c r="J67" s="324" t="s">
        <v>44</v>
      </c>
      <c r="K67" s="324" t="s">
        <v>45</v>
      </c>
      <c r="L67" s="324" t="s">
        <v>46</v>
      </c>
      <c r="M67" s="324" t="s">
        <v>47</v>
      </c>
      <c r="N67" s="324" t="s">
        <v>48</v>
      </c>
      <c r="O67" s="324" t="s">
        <v>49</v>
      </c>
      <c r="P67" s="324" t="s">
        <v>50</v>
      </c>
      <c r="Q67" s="324" t="s">
        <v>51</v>
      </c>
      <c r="R67" s="324" t="s">
        <v>52</v>
      </c>
      <c r="S67" s="324" t="s">
        <v>53</v>
      </c>
      <c r="T67" s="324" t="s">
        <v>54</v>
      </c>
      <c r="U67" s="324" t="s">
        <v>55</v>
      </c>
      <c r="V67" s="324" t="s">
        <v>56</v>
      </c>
      <c r="W67" s="324" t="s">
        <v>57</v>
      </c>
      <c r="X67" s="324" t="s">
        <v>58</v>
      </c>
      <c r="Y67" s="324" t="s">
        <v>136</v>
      </c>
      <c r="Z67" s="324" t="s">
        <v>137</v>
      </c>
      <c r="AA67" s="324" t="s">
        <v>138</v>
      </c>
      <c r="AB67" s="324" t="s">
        <v>139</v>
      </c>
      <c r="AC67" s="324" t="s">
        <v>140</v>
      </c>
    </row>
    <row r="68" spans="1:29" ht="15.75" thickBot="1">
      <c r="A68" s="50"/>
      <c r="B68" s="50"/>
      <c r="C68" s="50"/>
      <c r="D68" s="50"/>
      <c r="E68" s="53"/>
      <c r="F68" s="53"/>
      <c r="G68" s="53"/>
      <c r="H68" s="53"/>
      <c r="I68" s="53"/>
      <c r="J68" s="53"/>
      <c r="K68" s="53"/>
      <c r="L68" s="53"/>
      <c r="M68" s="53"/>
      <c r="N68" s="53"/>
      <c r="O68" s="53"/>
      <c r="P68" s="53"/>
      <c r="Q68" s="53"/>
      <c r="R68" s="53"/>
      <c r="S68" s="53"/>
      <c r="T68" s="53"/>
      <c r="U68" s="53"/>
      <c r="V68" s="53"/>
      <c r="W68" s="53"/>
      <c r="X68" s="53"/>
      <c r="Y68" s="53"/>
      <c r="Z68" s="53"/>
      <c r="AA68" s="53"/>
      <c r="AB68" s="53"/>
      <c r="AC68" s="53"/>
    </row>
    <row r="69" spans="1:29" ht="15.75">
      <c r="A69" s="391" t="s">
        <v>262</v>
      </c>
      <c r="B69" s="392"/>
      <c r="C69" s="393"/>
      <c r="D69" s="50"/>
      <c r="E69" s="361">
        <f>C35</f>
        <v>554389</v>
      </c>
      <c r="F69" s="362">
        <f t="shared" ref="F69" si="0">E69/100*(100-$C$63)</f>
        <v>549399.49899999995</v>
      </c>
      <c r="G69" s="362">
        <f t="shared" ref="G69" si="1">F69/100*(100-$C$63)</f>
        <v>544454.90350899985</v>
      </c>
      <c r="H69" s="362">
        <f t="shared" ref="H69" si="2">G69/100*(100-$C$63)</f>
        <v>539554.80937741883</v>
      </c>
      <c r="I69" s="362">
        <f t="shared" ref="I69" si="3">H69/100*(100-$C$63)</f>
        <v>534698.816093022</v>
      </c>
      <c r="J69" s="362">
        <f t="shared" ref="J69" si="4">I69/100*(100-$C$63)</f>
        <v>529886.52674818481</v>
      </c>
      <c r="K69" s="362">
        <f t="shared" ref="K69" si="5">J69/100*(100-$C$63)</f>
        <v>525117.54800745111</v>
      </c>
      <c r="L69" s="362">
        <f t="shared" ref="L69" si="6">K69/100*(100-$C$63)</f>
        <v>520391.49007538403</v>
      </c>
      <c r="M69" s="362">
        <f t="shared" ref="M69" si="7">L69/100*(100-$C$63)</f>
        <v>515707.96666470548</v>
      </c>
      <c r="N69" s="362">
        <f t="shared" ref="N69" si="8">M69/100*(100-$C$63)</f>
        <v>511066.5949647231</v>
      </c>
      <c r="O69" s="362">
        <f t="shared" ref="O69" si="9">N69/100*(100-$C$63)</f>
        <v>506466.99561004055</v>
      </c>
      <c r="P69" s="362">
        <f t="shared" ref="P69" si="10">O69/100*(100-$C$63)</f>
        <v>501908.79264955013</v>
      </c>
      <c r="Q69" s="362">
        <f t="shared" ref="Q69" si="11">P69/100*(100-$C$63)</f>
        <v>497391.61351570411</v>
      </c>
      <c r="R69" s="362">
        <f t="shared" ref="R69" si="12">Q69/100*(100-$C$63)</f>
        <v>492915.08899406274</v>
      </c>
      <c r="S69" s="362">
        <f t="shared" ref="S69" si="13">R69/100*(100-$C$63)</f>
        <v>488478.85319311614</v>
      </c>
      <c r="T69" s="362">
        <f t="shared" ref="T69" si="14">S69/100*(100-$C$63)</f>
        <v>484082.54351437808</v>
      </c>
      <c r="U69" s="362">
        <f t="shared" ref="U69" si="15">T69/100*(100-$C$63)</f>
        <v>479725.80062274868</v>
      </c>
      <c r="V69" s="362">
        <f t="shared" ref="V69" si="16">U69/100*(100-$C$63)</f>
        <v>475408.2684171439</v>
      </c>
      <c r="W69" s="362">
        <f t="shared" ref="W69" si="17">V69/100*(100-$C$63)</f>
        <v>471129.59400138957</v>
      </c>
      <c r="X69" s="363">
        <f t="shared" ref="X69" si="18">W69/100*(100-$C$63)</f>
        <v>466889.42765537708</v>
      </c>
      <c r="Y69" s="361">
        <f t="shared" ref="Y69" si="19">X69/100*(100-$C$63)</f>
        <v>462687.42280647863</v>
      </c>
      <c r="Z69" s="362">
        <f t="shared" ref="Z69" si="20">Y69/100*(100-$C$63)</f>
        <v>458523.2360012203</v>
      </c>
      <c r="AA69" s="362">
        <f t="shared" ref="AA69" si="21">Z69/100*(100-$C$63)</f>
        <v>454396.52687720925</v>
      </c>
      <c r="AB69" s="362">
        <f t="shared" ref="AB69" si="22">AA69/100*(100-$C$63)</f>
        <v>450306.95813531434</v>
      </c>
      <c r="AC69" s="363">
        <f t="shared" ref="AC69" si="23">AB69/100*(100-$C$63)</f>
        <v>446254.19551209651</v>
      </c>
    </row>
    <row r="70" spans="1:29" ht="15.75">
      <c r="A70" s="394" t="s">
        <v>156</v>
      </c>
      <c r="B70" s="395"/>
      <c r="C70" s="389"/>
      <c r="D70" s="50"/>
      <c r="E70" s="364">
        <f>IF(Calcoli!$T$49=2,0,Autoconsumo!$G$119)</f>
        <v>1000000</v>
      </c>
      <c r="F70" s="358">
        <f>IF(Calcoli!$T$49=2,0,Autoconsumo!$G$120)</f>
        <v>1024999.9999999999</v>
      </c>
      <c r="G70" s="358">
        <f>IF(Calcoli!$T$49=2,0,Autoconsumo!$G$121)</f>
        <v>1050624.9999999998</v>
      </c>
      <c r="H70" s="358">
        <f>IF(Calcoli!$T$49=2,0,Autoconsumo!$G$122)</f>
        <v>1076890.6249999998</v>
      </c>
      <c r="I70" s="358">
        <f>IF(Calcoli!$T$49=2,0,Autoconsumo!$G$123)</f>
        <v>1103812.8906249998</v>
      </c>
      <c r="J70" s="358">
        <f>IF(Calcoli!$T$49=2,0,Autoconsumo!$G$124)</f>
        <v>1131408.2128906248</v>
      </c>
      <c r="K70" s="358">
        <f>IF(Calcoli!$T$49=2,0,Autoconsumo!$G$125)</f>
        <v>1159693.4182128904</v>
      </c>
      <c r="L70" s="358">
        <f>IF(Calcoli!$T$49=2,0,Autoconsumo!$G$126)</f>
        <v>1188685.7536682126</v>
      </c>
      <c r="M70" s="358">
        <f>IF(Calcoli!$T$49=2,0,Autoconsumo!$G$127)</f>
        <v>1218402.8975099178</v>
      </c>
      <c r="N70" s="358">
        <f>IF(Calcoli!$T$49=2,0,Autoconsumo!$G$128)</f>
        <v>1248862.9699476657</v>
      </c>
      <c r="O70" s="358">
        <f>IF(Calcoli!$T$49=2,0,Autoconsumo!$G$129)</f>
        <v>1280084.5441963573</v>
      </c>
      <c r="P70" s="358">
        <f>IF(Calcoli!$T$49=2,0,Autoconsumo!$G$130)</f>
        <v>1312086.6578012661</v>
      </c>
      <c r="Q70" s="358">
        <f>IF(Calcoli!$T$49=2,0,Autoconsumo!$G$131)</f>
        <v>1344888.8242462976</v>
      </c>
      <c r="R70" s="358">
        <f>IF(Calcoli!$T$49=2,0,Autoconsumo!$G$132)</f>
        <v>1378511.0448524549</v>
      </c>
      <c r="S70" s="358">
        <f>IF(Calcoli!$T$49=2,0,Autoconsumo!$G$133)</f>
        <v>1412973.8209737663</v>
      </c>
      <c r="T70" s="358">
        <f>IF(Calcoli!$T$49=2,0,Autoconsumo!$G$134)</f>
        <v>1448298.1664981104</v>
      </c>
      <c r="U70" s="358">
        <f>IF(Calcoli!$T$49=2,0,Autoconsumo!$G$135)</f>
        <v>1484505.620660563</v>
      </c>
      <c r="V70" s="358">
        <f>IF(Calcoli!$T$49=2,0,Autoconsumo!$G$136)</f>
        <v>1521618.261177077</v>
      </c>
      <c r="W70" s="358">
        <f>IF(Calcoli!$T$49=2,0,Autoconsumo!$G$137)</f>
        <v>1559658.7177065038</v>
      </c>
      <c r="X70" s="365">
        <f>IF(Calcoli!$T$49=2,0,Autoconsumo!$G$138)</f>
        <v>1598650.1856491663</v>
      </c>
      <c r="Y70" s="364">
        <f>IF(Calcoli!$T$49=2,0,Autoconsumo!$G$139)</f>
        <v>1638616.4402903954</v>
      </c>
      <c r="Z70" s="358">
        <f>IF(Calcoli!$T$49=2,0,Autoconsumo!$G$140)</f>
        <v>1679581.8512976551</v>
      </c>
      <c r="AA70" s="358">
        <f>IF(Calcoli!$T$49=2,0,Autoconsumo!$G$141)</f>
        <v>1721571.3975800963</v>
      </c>
      <c r="AB70" s="358">
        <f>IF(Calcoli!$T$49=2,0,Autoconsumo!$G$142)</f>
        <v>1764610.6825195986</v>
      </c>
      <c r="AC70" s="365">
        <f>IF(Calcoli!$T$49=2,0,Autoconsumo!$G$143)</f>
        <v>1808725.9495825884</v>
      </c>
    </row>
    <row r="71" spans="1:29" ht="15.75">
      <c r="A71" s="394" t="s">
        <v>251</v>
      </c>
      <c r="B71" s="395"/>
      <c r="C71" s="389"/>
      <c r="D71" s="50"/>
      <c r="E71" s="364">
        <f>Autoconsumo!$D$119</f>
        <v>506843.99923733057</v>
      </c>
      <c r="F71" s="358">
        <f>Autoconsumo!$D$120</f>
        <v>502282.40324419457</v>
      </c>
      <c r="G71" s="358">
        <f>Autoconsumo!$D$121</f>
        <v>497761.86161499674</v>
      </c>
      <c r="H71" s="358">
        <f>Autoconsumo!$D$122</f>
        <v>493282.00486046175</v>
      </c>
      <c r="I71" s="358">
        <f>Autoconsumo!$D$123</f>
        <v>488842.46681671753</v>
      </c>
      <c r="J71" s="358">
        <f>Autoconsumo!$D$124</f>
        <v>484442.88461536705</v>
      </c>
      <c r="K71" s="358">
        <f>Autoconsumo!$D$125</f>
        <v>480082.89865382877</v>
      </c>
      <c r="L71" s="358">
        <f>Autoconsumo!$D$126</f>
        <v>475762.1525659443</v>
      </c>
      <c r="M71" s="358">
        <f>Autoconsumo!$D$127</f>
        <v>471480.29319285066</v>
      </c>
      <c r="N71" s="358">
        <f>Autoconsumo!$D$128</f>
        <v>467236.97055411502</v>
      </c>
      <c r="O71" s="358">
        <f>Autoconsumo!$D$129</f>
        <v>463031.83781912795</v>
      </c>
      <c r="P71" s="358">
        <f>Autoconsumo!$D$130</f>
        <v>458864.55127875577</v>
      </c>
      <c r="Q71" s="358">
        <f>Autoconsumo!$D$131</f>
        <v>454734.7703172469</v>
      </c>
      <c r="R71" s="358">
        <f>Autoconsumo!$D$132</f>
        <v>450642.15738439158</v>
      </c>
      <c r="S71" s="358">
        <f>Autoconsumo!$D$133</f>
        <v>446586.37796793203</v>
      </c>
      <c r="T71" s="358">
        <f>Autoconsumo!$D$134</f>
        <v>442567.10056622064</v>
      </c>
      <c r="U71" s="358">
        <f>Autoconsumo!$D$135</f>
        <v>438583.99666112463</v>
      </c>
      <c r="V71" s="358">
        <f>Autoconsumo!$D$136</f>
        <v>434636.74069117452</v>
      </c>
      <c r="W71" s="358">
        <f>Autoconsumo!$D$137</f>
        <v>430725.01002495387</v>
      </c>
      <c r="X71" s="365">
        <f>Autoconsumo!$D$138</f>
        <v>426848.48493472935</v>
      </c>
      <c r="Y71" s="364">
        <f>Autoconsumo!$D$139</f>
        <v>423006.84857031674</v>
      </c>
      <c r="Z71" s="358">
        <f>Autoconsumo!$D$140</f>
        <v>419199.7869331839</v>
      </c>
      <c r="AA71" s="358">
        <f>Autoconsumo!$D$141</f>
        <v>415426.98885078507</v>
      </c>
      <c r="AB71" s="358">
        <f>Autoconsumo!$D$142</f>
        <v>411688.14595112804</v>
      </c>
      <c r="AC71" s="365">
        <f>Autoconsumo!$D$143</f>
        <v>407982.95263756788</v>
      </c>
    </row>
    <row r="72" spans="1:29" ht="15.75">
      <c r="A72" s="394" t="s">
        <v>263</v>
      </c>
      <c r="B72" s="395"/>
      <c r="C72" s="389"/>
      <c r="D72" s="50"/>
      <c r="E72" s="364">
        <f>Autoconsumo!$H$119</f>
        <v>47545.000762669428</v>
      </c>
      <c r="F72" s="358">
        <f>Autoconsumo!$H$120</f>
        <v>47117.095755805378</v>
      </c>
      <c r="G72" s="358">
        <f>Autoconsumo!$H$121</f>
        <v>46693.041894003109</v>
      </c>
      <c r="H72" s="358">
        <f>Autoconsumo!$H$122</f>
        <v>46272.804516957083</v>
      </c>
      <c r="I72" s="358">
        <f>Autoconsumo!$H$123</f>
        <v>45856.349276304478</v>
      </c>
      <c r="J72" s="358">
        <f>Autoconsumo!$H$124</f>
        <v>45443.642132817768</v>
      </c>
      <c r="K72" s="358">
        <f>Autoconsumo!$H$125</f>
        <v>45034.649353622342</v>
      </c>
      <c r="L72" s="358">
        <f>Autoconsumo!$H$126</f>
        <v>44629.337509439734</v>
      </c>
      <c r="M72" s="358">
        <f>Autoconsumo!$H$127</f>
        <v>44227.673471854825</v>
      </c>
      <c r="N72" s="358">
        <f>Autoconsumo!$H$128</f>
        <v>43829.624410608085</v>
      </c>
      <c r="O72" s="358">
        <f>Autoconsumo!$H$129</f>
        <v>43435.157790912606</v>
      </c>
      <c r="P72" s="358">
        <f>Autoconsumo!$H$130</f>
        <v>43044.241370794363</v>
      </c>
      <c r="Q72" s="358">
        <f>Autoconsumo!$H$131</f>
        <v>42656.843198457209</v>
      </c>
      <c r="R72" s="358">
        <f>Autoconsumo!$H$132</f>
        <v>42272.931609671155</v>
      </c>
      <c r="S72" s="358">
        <f>Autoconsumo!$H$133</f>
        <v>41892.475225184113</v>
      </c>
      <c r="T72" s="358">
        <f>Autoconsumo!$H$134</f>
        <v>41515.442948157433</v>
      </c>
      <c r="U72" s="358">
        <f>Autoconsumo!$H$135</f>
        <v>41141.803961624042</v>
      </c>
      <c r="V72" s="358">
        <f>Autoconsumo!$H$136</f>
        <v>40771.527725969383</v>
      </c>
      <c r="W72" s="358">
        <f>Autoconsumo!$H$137</f>
        <v>40404.583976435708</v>
      </c>
      <c r="X72" s="365">
        <f>Autoconsumo!$H$138</f>
        <v>40040.942720647727</v>
      </c>
      <c r="Y72" s="364">
        <f>Autoconsumo!$H$139</f>
        <v>39680.57423616189</v>
      </c>
      <c r="Z72" s="358">
        <f>Autoconsumo!$H$140</f>
        <v>39323.449068036396</v>
      </c>
      <c r="AA72" s="358">
        <f>Autoconsumo!$H$141</f>
        <v>38969.538026424183</v>
      </c>
      <c r="AB72" s="358">
        <f>Autoconsumo!$H$142</f>
        <v>38618.812184186303</v>
      </c>
      <c r="AC72" s="365">
        <f>Autoconsumo!$H$143</f>
        <v>38271.242874528631</v>
      </c>
    </row>
    <row r="73" spans="1:29" ht="15.75">
      <c r="A73" s="394" t="s">
        <v>207</v>
      </c>
      <c r="B73" s="395"/>
      <c r="C73" s="389"/>
      <c r="D73" s="50"/>
      <c r="E73" s="364">
        <f>Autoconsumo!$I$119</f>
        <v>0</v>
      </c>
      <c r="F73" s="358">
        <f>Autoconsumo!$I$120</f>
        <v>0</v>
      </c>
      <c r="G73" s="358">
        <f>Autoconsumo!$I$121</f>
        <v>0</v>
      </c>
      <c r="H73" s="358">
        <f>Autoconsumo!$I$122</f>
        <v>0</v>
      </c>
      <c r="I73" s="358">
        <f>Autoconsumo!$I$123</f>
        <v>0</v>
      </c>
      <c r="J73" s="358">
        <f>Autoconsumo!$I$124</f>
        <v>0</v>
      </c>
      <c r="K73" s="358">
        <f>Autoconsumo!$I$125</f>
        <v>0</v>
      </c>
      <c r="L73" s="358">
        <f>Autoconsumo!$I$126</f>
        <v>0</v>
      </c>
      <c r="M73" s="358">
        <f>Autoconsumo!$I$127</f>
        <v>0</v>
      </c>
      <c r="N73" s="358">
        <f>Autoconsumo!$I$128</f>
        <v>0</v>
      </c>
      <c r="O73" s="358">
        <f>Autoconsumo!$I$129</f>
        <v>0</v>
      </c>
      <c r="P73" s="358">
        <f>Autoconsumo!$I$130</f>
        <v>0</v>
      </c>
      <c r="Q73" s="358">
        <f>Autoconsumo!$I$131</f>
        <v>0</v>
      </c>
      <c r="R73" s="358">
        <f>Autoconsumo!$I$132</f>
        <v>0</v>
      </c>
      <c r="S73" s="358">
        <f>Autoconsumo!$I$133</f>
        <v>0</v>
      </c>
      <c r="T73" s="358">
        <f>Autoconsumo!$I$134</f>
        <v>0</v>
      </c>
      <c r="U73" s="358">
        <f>Autoconsumo!$I$135</f>
        <v>0</v>
      </c>
      <c r="V73" s="358">
        <f>Autoconsumo!$I$136</f>
        <v>0</v>
      </c>
      <c r="W73" s="358">
        <f>Autoconsumo!$I$137</f>
        <v>0</v>
      </c>
      <c r="X73" s="365">
        <f>Autoconsumo!$I$138</f>
        <v>0</v>
      </c>
      <c r="Y73" s="364">
        <f>Autoconsumo!$I$139</f>
        <v>0</v>
      </c>
      <c r="Z73" s="358">
        <f>Autoconsumo!$I$140</f>
        <v>0</v>
      </c>
      <c r="AA73" s="358">
        <f>Autoconsumo!$I$141</f>
        <v>0</v>
      </c>
      <c r="AB73" s="358">
        <f>Autoconsumo!$I$142</f>
        <v>0</v>
      </c>
      <c r="AC73" s="365">
        <f>Autoconsumo!$I$143</f>
        <v>0</v>
      </c>
    </row>
    <row r="74" spans="1:29" ht="16.5" thickBot="1">
      <c r="A74" s="396" t="s">
        <v>36</v>
      </c>
      <c r="B74" s="397"/>
      <c r="C74" s="398"/>
      <c r="D74" s="50"/>
      <c r="E74" s="435">
        <f>Autoconsumo!$E$119</f>
        <v>47545.000762669428</v>
      </c>
      <c r="F74" s="436">
        <f>Autoconsumo!$E$120</f>
        <v>47117.095755805378</v>
      </c>
      <c r="G74" s="436">
        <f>Autoconsumo!$E$121</f>
        <v>46693.041894003109</v>
      </c>
      <c r="H74" s="436">
        <f>Autoconsumo!$E$122</f>
        <v>46272.804516957083</v>
      </c>
      <c r="I74" s="436">
        <f>Autoconsumo!$E$123</f>
        <v>45856.349276304478</v>
      </c>
      <c r="J74" s="436">
        <f>Autoconsumo!$E$124</f>
        <v>45443.642132817768</v>
      </c>
      <c r="K74" s="436">
        <f>Autoconsumo!$E$125</f>
        <v>45034.649353622342</v>
      </c>
      <c r="L74" s="436">
        <f>Autoconsumo!$E$126</f>
        <v>44629.337509439734</v>
      </c>
      <c r="M74" s="436">
        <f>Autoconsumo!$E$127</f>
        <v>44227.673471854825</v>
      </c>
      <c r="N74" s="436">
        <f>Autoconsumo!$E$128</f>
        <v>43829.624410608085</v>
      </c>
      <c r="O74" s="436">
        <f>Autoconsumo!$E$129</f>
        <v>43435.157790912606</v>
      </c>
      <c r="P74" s="436">
        <f>Autoconsumo!$E$130</f>
        <v>43044.241370794363</v>
      </c>
      <c r="Q74" s="436">
        <f>Autoconsumo!$E$131</f>
        <v>42656.843198457209</v>
      </c>
      <c r="R74" s="436">
        <f>Autoconsumo!$E$132</f>
        <v>42272.931609671155</v>
      </c>
      <c r="S74" s="436">
        <f>Autoconsumo!$E$133</f>
        <v>41892.475225184113</v>
      </c>
      <c r="T74" s="436">
        <f>Autoconsumo!$E$134</f>
        <v>41515.442948157433</v>
      </c>
      <c r="U74" s="436">
        <f>Autoconsumo!$E$135</f>
        <v>41141.803961624042</v>
      </c>
      <c r="V74" s="436">
        <f>Autoconsumo!$E$136</f>
        <v>40771.527725969383</v>
      </c>
      <c r="W74" s="436">
        <f>Autoconsumo!$E$137</f>
        <v>40404.583976435708</v>
      </c>
      <c r="X74" s="437">
        <f>Autoconsumo!$E$138</f>
        <v>40040.942720647727</v>
      </c>
      <c r="Y74" s="435">
        <f>Autoconsumo!$E$139</f>
        <v>39680.57423616189</v>
      </c>
      <c r="Z74" s="436">
        <f>Autoconsumo!$E$140</f>
        <v>39323.449068036396</v>
      </c>
      <c r="AA74" s="436">
        <f>Autoconsumo!$E$141</f>
        <v>38969.538026424183</v>
      </c>
      <c r="AB74" s="436">
        <f>Autoconsumo!$E$142</f>
        <v>38618.812184186303</v>
      </c>
      <c r="AC74" s="437">
        <f>Autoconsumo!$E$143</f>
        <v>38271.242874528631</v>
      </c>
    </row>
    <row r="75" spans="1:29" ht="11.25" customHeight="1" thickBot="1">
      <c r="A75" s="52"/>
      <c r="B75" s="50"/>
      <c r="C75" s="50"/>
      <c r="D75" s="50"/>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row>
    <row r="76" spans="1:29" ht="15.75">
      <c r="A76" s="399" t="s">
        <v>129</v>
      </c>
      <c r="B76" s="400"/>
      <c r="C76" s="401"/>
      <c r="D76" s="50"/>
      <c r="E76" s="429">
        <f>IF(Calcoli!$G$1&lt;6,E74*$D$25/1000,0)</f>
        <v>6085.7600976216863</v>
      </c>
      <c r="F76" s="430">
        <f>IF(Calcoli!$G$1&lt;6,F74*$D$25/1000,0)</f>
        <v>6030.9882567430886</v>
      </c>
      <c r="G76" s="430">
        <f>IF(Calcoli!$G$1&lt;6,G74*$D$25/1000,0)</f>
        <v>5976.7093624323979</v>
      </c>
      <c r="H76" s="430">
        <f>IF(Calcoli!$G$1&lt;6,H74*$D$25/1000,0)</f>
        <v>5922.9189781705063</v>
      </c>
      <c r="I76" s="430">
        <f>IF(Calcoli!$G$1&lt;6,I74*$D$25/1000,0)</f>
        <v>5869.6127073669732</v>
      </c>
      <c r="J76" s="430">
        <f>IF(Calcoli!$G$1&lt;6,J74*$D$25/1000,0)</f>
        <v>5816.7861930006738</v>
      </c>
      <c r="K76" s="430">
        <f>IF(Calcoli!$G$1&lt;6,K74*$D$25/1000,0)</f>
        <v>5764.4351172636598</v>
      </c>
      <c r="L76" s="430">
        <f>IF(Calcoli!$G$1&lt;6,L74*$D$25/1000,0)</f>
        <v>5712.5552012082862</v>
      </c>
      <c r="M76" s="430">
        <f>IF(Calcoli!$G$1&lt;6,M74*$D$25/1000,0)</f>
        <v>5661.142204397418</v>
      </c>
      <c r="N76" s="430">
        <f>IF(Calcoli!$G$1&lt;6,N74*$D$25/1000,0)</f>
        <v>5610.1919245578347</v>
      </c>
      <c r="O76" s="430">
        <f>IF(Calcoli!$G$1&lt;6,O74*$D$25/1000,0)</f>
        <v>5559.7001972368134</v>
      </c>
      <c r="P76" s="430">
        <f>IF(Calcoli!$G$1&lt;6,P74*$D$25/1000,0)</f>
        <v>5509.6628954616781</v>
      </c>
      <c r="Q76" s="430">
        <f>IF(Calcoli!$G$1&lt;6,Q74*$D$25/1000,0)</f>
        <v>5460.0759294025229</v>
      </c>
      <c r="R76" s="430">
        <f>IF(Calcoli!$G$1&lt;6,R74*$D$25/1000,0)</f>
        <v>5410.9352460379077</v>
      </c>
      <c r="S76" s="430">
        <f>IF(Calcoli!$G$1&lt;6,S74*$D$25/1000,0)</f>
        <v>5362.2368288235666</v>
      </c>
      <c r="T76" s="430">
        <f>IF(Calcoli!$G$1&lt;6,T74*$D$25/1000,0)</f>
        <v>5313.9766973641517</v>
      </c>
      <c r="U76" s="430">
        <f>IF(Calcoli!$G$1&lt;6,U74*$D$25/1000,0)</f>
        <v>5266.1509070878774</v>
      </c>
      <c r="V76" s="430">
        <f>IF(Calcoli!$G$1&lt;6,V74*$D$25/1000,0)</f>
        <v>5218.7555489240813</v>
      </c>
      <c r="W76" s="430">
        <f>IF(Calcoli!$G$1&lt;6,W74*$D$25/1000,0)</f>
        <v>5171.7867489837708</v>
      </c>
      <c r="X76" s="431">
        <f>IF(Calcoli!$G$1&lt;6,X74*$D$25/1000,0)</f>
        <v>5125.2406682429091</v>
      </c>
      <c r="Y76" s="429">
        <v>0</v>
      </c>
      <c r="Z76" s="430">
        <v>0</v>
      </c>
      <c r="AA76" s="430">
        <v>0</v>
      </c>
      <c r="AB76" s="430">
        <v>0</v>
      </c>
      <c r="AC76" s="431">
        <v>0</v>
      </c>
    </row>
    <row r="77" spans="1:29" ht="15.75">
      <c r="A77" s="402" t="s">
        <v>130</v>
      </c>
      <c r="B77" s="403"/>
      <c r="C77" s="404"/>
      <c r="D77" s="50"/>
      <c r="E77" s="366">
        <f>IF(Calcoli!$G$1&lt;6,E71*$D$26/1000,0)</f>
        <v>23314.823964917206</v>
      </c>
      <c r="F77" s="360">
        <f>IF(Calcoli!$G$1&lt;6,F71*$D$26/1000,0)</f>
        <v>23104.990549232953</v>
      </c>
      <c r="G77" s="360">
        <f>IF(Calcoli!$G$1&lt;6,G71*$D$26/1000,0)</f>
        <v>22897.045634289851</v>
      </c>
      <c r="H77" s="360">
        <f>IF(Calcoli!$G$1&lt;6,H71*$D$26/1000,0)</f>
        <v>22690.972223581241</v>
      </c>
      <c r="I77" s="360">
        <f>IF(Calcoli!$G$1&lt;6,I71*$D$26/1000,0)</f>
        <v>22486.753473569006</v>
      </c>
      <c r="J77" s="360">
        <f>IF(Calcoli!$G$1&lt;6,J71*$D$26/1000,0)</f>
        <v>22284.372692306883</v>
      </c>
      <c r="K77" s="360">
        <f>IF(Calcoli!$G$1&lt;6,K71*$D$26/1000,0)</f>
        <v>22083.813338076121</v>
      </c>
      <c r="L77" s="360">
        <f>IF(Calcoli!$G$1&lt;6,L71*$D$26/1000,0)</f>
        <v>21885.059018033437</v>
      </c>
      <c r="M77" s="360">
        <f>IF(Calcoli!$G$1&lt;6,M71*$D$26/1000,0)</f>
        <v>21688.09348687113</v>
      </c>
      <c r="N77" s="360">
        <f>IF(Calcoli!$G$1&lt;6,N71*$D$26/1000,0)</f>
        <v>21492.900645489291</v>
      </c>
      <c r="O77" s="360">
        <f>IF(Calcoli!$G$1&lt;6,O71*$D$26/1000,0)</f>
        <v>21299.464539679884</v>
      </c>
      <c r="P77" s="360">
        <f>IF(Calcoli!$G$1&lt;6,P71*$D$26/1000,0)</f>
        <v>21107.769358822767</v>
      </c>
      <c r="Q77" s="360">
        <f>IF(Calcoli!$G$1&lt;6,Q71*$D$26/1000,0)</f>
        <v>20917.799434593358</v>
      </c>
      <c r="R77" s="360">
        <f>IF(Calcoli!$G$1&lt;6,R71*$D$26/1000,0)</f>
        <v>20729.53923968201</v>
      </c>
      <c r="S77" s="360">
        <f>IF(Calcoli!$G$1&lt;6,S71*$D$26/1000,0)</f>
        <v>20542.973386524875</v>
      </c>
      <c r="T77" s="360">
        <f>IF(Calcoli!$G$1&lt;6,T71*$D$26/1000,0)</f>
        <v>20358.086626046152</v>
      </c>
      <c r="U77" s="360">
        <f>IF(Calcoli!$G$1&lt;6,U71*$D$26/1000,0)</f>
        <v>20174.863846411736</v>
      </c>
      <c r="V77" s="360">
        <f>IF(Calcoli!$G$1&lt;6,V71*$D$26/1000,0)</f>
        <v>19993.290071794028</v>
      </c>
      <c r="W77" s="360">
        <f>IF(Calcoli!$G$1&lt;6,W71*$D$26/1000,0)</f>
        <v>19813.350461147878</v>
      </c>
      <c r="X77" s="367">
        <f>IF(Calcoli!$G$1&lt;6,X71*$D$26/1000,0)</f>
        <v>19635.030306997549</v>
      </c>
      <c r="Y77" s="366">
        <v>0</v>
      </c>
      <c r="Z77" s="360">
        <v>0</v>
      </c>
      <c r="AA77" s="360">
        <v>0</v>
      </c>
      <c r="AB77" s="360">
        <v>0</v>
      </c>
      <c r="AC77" s="367">
        <v>0</v>
      </c>
    </row>
    <row r="78" spans="1:29" ht="15.75">
      <c r="A78" s="402" t="s">
        <v>206</v>
      </c>
      <c r="B78" s="403"/>
      <c r="C78" s="404"/>
      <c r="D78" s="50"/>
      <c r="E78" s="366">
        <f>IF(Calcoli!G256=TRUE,(E72*Calcoli!G239)*1.051,0)</f>
        <v>0</v>
      </c>
      <c r="F78" s="360">
        <f>IF(Calcoli!H256=TRUE,(F72*Calcoli!H239)*1.051,0)</f>
        <v>0</v>
      </c>
      <c r="G78" s="360">
        <f>IF(Calcoli!I256=TRUE,(G72*Calcoli!I239)*1.051,0)</f>
        <v>0</v>
      </c>
      <c r="H78" s="360">
        <f>IF(Calcoli!J256=TRUE,(H72*Calcoli!J239)*1.051,0)</f>
        <v>0</v>
      </c>
      <c r="I78" s="360">
        <f>IF(Calcoli!K256=TRUE,(I72*Calcoli!K239)*1.051,0)</f>
        <v>0</v>
      </c>
      <c r="J78" s="360">
        <f>IF(Calcoli!L256=TRUE,(J72*Calcoli!L239)*1.051,0)</f>
        <v>0</v>
      </c>
      <c r="K78" s="360">
        <f>IF(Calcoli!M256=TRUE,(K72*Calcoli!M239)*1.051,0)</f>
        <v>0</v>
      </c>
      <c r="L78" s="360">
        <f>IF(Calcoli!N256=TRUE,(L72*Calcoli!N239)*1.051,0)</f>
        <v>0</v>
      </c>
      <c r="M78" s="360">
        <f>IF(Calcoli!O256=TRUE,(M72*Calcoli!O239)*1.051,0)</f>
        <v>0</v>
      </c>
      <c r="N78" s="360">
        <f>IF(Calcoli!P256=TRUE,(N72*Calcoli!P239)*1.051,0)</f>
        <v>0</v>
      </c>
      <c r="O78" s="360">
        <f>IF(Calcoli!Q256=TRUE,(O72*Calcoli!Q239)*1.051,0)</f>
        <v>0</v>
      </c>
      <c r="P78" s="360">
        <f>IF(Calcoli!R256=TRUE,(P72*Calcoli!R239)*1.051,0)</f>
        <v>0</v>
      </c>
      <c r="Q78" s="360">
        <f>IF(Calcoli!S256=TRUE,(Q72*Calcoli!S239)*1.051,0)</f>
        <v>0</v>
      </c>
      <c r="R78" s="360">
        <f>IF(Calcoli!T256=TRUE,(R72*Calcoli!T239)*1.051,0)</f>
        <v>0</v>
      </c>
      <c r="S78" s="360">
        <f>IF(Calcoli!U256=TRUE,(S72*Calcoli!U239)*1.051,0)</f>
        <v>0</v>
      </c>
      <c r="T78" s="360">
        <f>IF(Calcoli!V256=TRUE,(T72*Calcoli!V239)*1.051,0)</f>
        <v>0</v>
      </c>
      <c r="U78" s="360">
        <f>IF(Calcoli!W256=TRUE,(U72*Calcoli!W239)*1.051,0)</f>
        <v>0</v>
      </c>
      <c r="V78" s="360">
        <f>IF(Calcoli!X256=TRUE,(V72*Calcoli!X239)*1.051,0)</f>
        <v>0</v>
      </c>
      <c r="W78" s="360">
        <f>IF(Calcoli!Y256=TRUE,(W72*Calcoli!Y239)*1.051,0)</f>
        <v>0</v>
      </c>
      <c r="X78" s="428">
        <f>IF(Calcoli!Z256=TRUE,(X72*Calcoli!Z239)*1.051,0)</f>
        <v>0</v>
      </c>
      <c r="Y78" s="366">
        <f>IF(Calcoli!$U$49=TRUE,(Y72*Calcoli!AA239)*1.051,0)</f>
        <v>0</v>
      </c>
      <c r="Z78" s="360">
        <f>IF(Calcoli!$U$49=TRUE,(Z72*Calcoli!AB239)*1.051,0)</f>
        <v>0</v>
      </c>
      <c r="AA78" s="360">
        <f>IF(Calcoli!$U$49=TRUE,(AA72*Calcoli!AC239)*1.051,0)</f>
        <v>0</v>
      </c>
      <c r="AB78" s="360">
        <f>IF(Calcoli!$U$49=TRUE,(AB72*Calcoli!AD239)*1.051,0)</f>
        <v>0</v>
      </c>
      <c r="AC78" s="367">
        <f>IF(Calcoli!$U$49=TRUE,(AC72*Calcoli!AE239)*1.051,0)</f>
        <v>0</v>
      </c>
    </row>
    <row r="79" spans="1:29" ht="15.75">
      <c r="A79" s="402" t="s">
        <v>150</v>
      </c>
      <c r="B79" s="403"/>
      <c r="C79" s="404"/>
      <c r="D79" s="50"/>
      <c r="E79" s="366">
        <f>IF(Calcoli!G256=TRUE,(E73*Calcoli!G251)*1.051,0)</f>
        <v>0</v>
      </c>
      <c r="F79" s="360">
        <f>IF(Calcoli!H256=TRUE,(F73*Calcoli!H251)*1.051,0)</f>
        <v>0</v>
      </c>
      <c r="G79" s="427">
        <f>IF(Calcoli!I256=TRUE,(G73*Calcoli!I251)*1.051,0)</f>
        <v>0</v>
      </c>
      <c r="H79" s="427">
        <f>IF(Calcoli!J256=TRUE,(H73*Calcoli!J251)*1.051,0)</f>
        <v>0</v>
      </c>
      <c r="I79" s="427">
        <f>IF(Calcoli!K256=TRUE,(I73*Calcoli!K251)*1.051,0)</f>
        <v>0</v>
      </c>
      <c r="J79" s="427">
        <f>IF(Calcoli!L256=TRUE,(J73*Calcoli!L251)*1.051,0)</f>
        <v>0</v>
      </c>
      <c r="K79" s="427">
        <f>IF(Calcoli!M256=TRUE,(K73*Calcoli!M251)*1.051,0)</f>
        <v>0</v>
      </c>
      <c r="L79" s="427">
        <f>IF(Calcoli!N256=TRUE,(L73*Calcoli!N251)*1.051,0)</f>
        <v>0</v>
      </c>
      <c r="M79" s="427">
        <f>IF(Calcoli!O256=TRUE,(M73*Calcoli!O251)*1.051,0)</f>
        <v>0</v>
      </c>
      <c r="N79" s="427">
        <f>IF(Calcoli!P256=TRUE,(N73*Calcoli!P251)*1.051,0)</f>
        <v>0</v>
      </c>
      <c r="O79" s="427">
        <f>IF(Calcoli!Q256=TRUE,(O73*Calcoli!Q251)*1.051,0)</f>
        <v>0</v>
      </c>
      <c r="P79" s="427">
        <f>IF(Calcoli!R256=TRUE,(P73*Calcoli!R251)*1.051,0)</f>
        <v>0</v>
      </c>
      <c r="Q79" s="427">
        <f>IF(Calcoli!S256=TRUE,(Q73*Calcoli!S251)*1.051,0)</f>
        <v>0</v>
      </c>
      <c r="R79" s="427">
        <f>IF(Calcoli!T256=TRUE,(R73*Calcoli!T251)*1.051,0)</f>
        <v>0</v>
      </c>
      <c r="S79" s="427">
        <f>IF(Calcoli!U256=TRUE,(S73*Calcoli!U251)*1.051,0)</f>
        <v>0</v>
      </c>
      <c r="T79" s="427">
        <f>IF(Calcoli!V256=TRUE,(T73*Calcoli!V251)*1.051,0)</f>
        <v>0</v>
      </c>
      <c r="U79" s="427">
        <f>IF(Calcoli!W256=TRUE,(U73*Calcoli!W251)*1.051,0)</f>
        <v>0</v>
      </c>
      <c r="V79" s="427">
        <f>IF(Calcoli!X256=TRUE,(V73*Calcoli!X251)*1.051,0)</f>
        <v>0</v>
      </c>
      <c r="W79" s="427">
        <f>IF(Calcoli!Y256=TRUE,(W73*Calcoli!Y251)*1.051,0)</f>
        <v>0</v>
      </c>
      <c r="X79" s="428">
        <f>IF(Calcoli!Z256=TRUE,(X73*Calcoli!Z251)*1.051,0)</f>
        <v>0</v>
      </c>
      <c r="Y79" s="366">
        <f>IF(Calcoli!$U$49=TRUE,(Y73*Calcoli!AA251)*1.051,0)</f>
        <v>0</v>
      </c>
      <c r="Z79" s="360">
        <f>IF(Calcoli!$U$49=TRUE,(Z73*Calcoli!AB251)*1.051,0)</f>
        <v>0</v>
      </c>
      <c r="AA79" s="360">
        <f>IF(Calcoli!$U$49=TRUE,(AA73*Calcoli!AC251)*1.051,0)</f>
        <v>0</v>
      </c>
      <c r="AB79" s="360">
        <f>IF(Calcoli!$U$49=TRUE,(AB73*Calcoli!AD251)*1.051,0)</f>
        <v>0</v>
      </c>
      <c r="AC79" s="367">
        <f>IF(Calcoli!$U$49=TRUE,(AC73*Calcoli!AE251)*1.051,0)</f>
        <v>0</v>
      </c>
    </row>
    <row r="80" spans="1:29" ht="15.75">
      <c r="A80" s="402" t="s">
        <v>147</v>
      </c>
      <c r="B80" s="403"/>
      <c r="C80" s="404"/>
      <c r="D80" s="50"/>
      <c r="E80" s="366">
        <f>IF(Calcoli!$G$236=TRUE,Calcoli!G251*E74,0)</f>
        <v>0</v>
      </c>
      <c r="F80" s="360">
        <f>IF(Calcoli!$G$236=TRUE,Calcoli!H251*F74,0)</f>
        <v>0</v>
      </c>
      <c r="G80" s="360">
        <f>IF(Calcoli!$G$236=TRUE,Calcoli!I251*G74,0)</f>
        <v>0</v>
      </c>
      <c r="H80" s="360">
        <f>IF(Calcoli!$G$236=TRUE,Calcoli!J251*H74,0)</f>
        <v>0</v>
      </c>
      <c r="I80" s="360">
        <f>IF(Calcoli!$G$236=TRUE,Calcoli!K251*I74,0)</f>
        <v>0</v>
      </c>
      <c r="J80" s="360">
        <f>IF(Calcoli!$G$236=TRUE,Calcoli!L251*J74,0)</f>
        <v>0</v>
      </c>
      <c r="K80" s="360">
        <f>IF(Calcoli!$G$236=TRUE,Calcoli!M251*K74,0)</f>
        <v>0</v>
      </c>
      <c r="L80" s="360">
        <f>IF(Calcoli!$G$236=TRUE,Calcoli!N251*L74,0)</f>
        <v>0</v>
      </c>
      <c r="M80" s="360">
        <f>IF(Calcoli!$G$236=TRUE,Calcoli!O251*M74,0)</f>
        <v>0</v>
      </c>
      <c r="N80" s="360">
        <f>IF(Calcoli!$G$236=TRUE,Calcoli!P251*N74,0)</f>
        <v>0</v>
      </c>
      <c r="O80" s="360">
        <f>IF(Calcoli!$G$236=TRUE,Calcoli!Q251*O74,0)</f>
        <v>0</v>
      </c>
      <c r="P80" s="360">
        <f>IF(Calcoli!$G$236=TRUE,Calcoli!R251*P74,0)</f>
        <v>0</v>
      </c>
      <c r="Q80" s="360">
        <f>IF(Calcoli!$G$236=TRUE,Calcoli!S251*Q74,0)</f>
        <v>0</v>
      </c>
      <c r="R80" s="360">
        <f>IF(Calcoli!$G$236=TRUE,Calcoli!T251*R74,0)</f>
        <v>0</v>
      </c>
      <c r="S80" s="360">
        <f>IF(Calcoli!$G$236=TRUE,Calcoli!U251*S74,0)</f>
        <v>0</v>
      </c>
      <c r="T80" s="360">
        <f>IF(Calcoli!$G$236=TRUE,Calcoli!V251*T74,0)</f>
        <v>0</v>
      </c>
      <c r="U80" s="360">
        <f>IF(Calcoli!$G$236=TRUE,Calcoli!W251*U74,0)</f>
        <v>0</v>
      </c>
      <c r="V80" s="360">
        <f>IF(Calcoli!$G$236=TRUE,Calcoli!X251*V74,0)</f>
        <v>0</v>
      </c>
      <c r="W80" s="360">
        <f>IF(Calcoli!$G$236=TRUE,Calcoli!Y251*W74,0)</f>
        <v>0</v>
      </c>
      <c r="X80" s="367">
        <f>IF(Calcoli!$G$236=TRUE,Calcoli!Z251*X74,0)</f>
        <v>0</v>
      </c>
      <c r="Y80" s="366">
        <f>IF(Calcoli!$T$49=2,Y74*Calcoli!AA251,0)</f>
        <v>0</v>
      </c>
      <c r="Z80" s="360">
        <f>IF(Calcoli!$T$49=2,Z74*Calcoli!AB251,0)</f>
        <v>0</v>
      </c>
      <c r="AA80" s="360">
        <f>IF(Calcoli!$T$49=2,AA74*Calcoli!AC251,0)</f>
        <v>0</v>
      </c>
      <c r="AB80" s="360">
        <f>IF(Calcoli!$T$49=2,AB74*Calcoli!AD251,0)</f>
        <v>0</v>
      </c>
      <c r="AC80" s="367">
        <f>IF(Calcoli!$T$49=2,AC74*Calcoli!AE251,0)</f>
        <v>0</v>
      </c>
    </row>
    <row r="81" spans="1:29" ht="16.5" thickBot="1">
      <c r="A81" s="402" t="s">
        <v>260</v>
      </c>
      <c r="B81" s="403"/>
      <c r="C81" s="404"/>
      <c r="D81" s="50"/>
      <c r="E81" s="432">
        <f>IF(Calcoli!G265=TRUE,($C$4*$C$43)/20,0)</f>
        <v>0</v>
      </c>
      <c r="F81" s="433">
        <f>IF(Calcoli!H265=TRUE,($C$4*$C$43)/20,0)</f>
        <v>0</v>
      </c>
      <c r="G81" s="433">
        <f>IF(Calcoli!I265=TRUE,($C$4*$C$43)/20,0)</f>
        <v>0</v>
      </c>
      <c r="H81" s="433">
        <f>IF(Calcoli!J265=TRUE,($C$4*$C$43)/20,0)</f>
        <v>0</v>
      </c>
      <c r="I81" s="433">
        <f>IF(Calcoli!K265=TRUE,($C$4*$C$43)/20,0)</f>
        <v>0</v>
      </c>
      <c r="J81" s="433">
        <f>IF(Calcoli!L265=TRUE,($C$4*$C$43)/20,0)</f>
        <v>0</v>
      </c>
      <c r="K81" s="433">
        <f>IF(Calcoli!M265=TRUE,($C$4*$C$43)/20,0)</f>
        <v>0</v>
      </c>
      <c r="L81" s="433">
        <f>IF(Calcoli!N265=TRUE,($C$4*$C$43)/20,0)</f>
        <v>0</v>
      </c>
      <c r="M81" s="433">
        <f>IF(Calcoli!O265=TRUE,($C$4*$C$43)/20,0)</f>
        <v>0</v>
      </c>
      <c r="N81" s="433">
        <f>IF(Calcoli!P265=TRUE,($C$4*$C$43)/20,0)</f>
        <v>0</v>
      </c>
      <c r="O81" s="433">
        <v>0</v>
      </c>
      <c r="P81" s="433">
        <v>0</v>
      </c>
      <c r="Q81" s="433">
        <v>0</v>
      </c>
      <c r="R81" s="433">
        <v>0</v>
      </c>
      <c r="S81" s="433">
        <v>0</v>
      </c>
      <c r="T81" s="433">
        <v>0</v>
      </c>
      <c r="U81" s="433">
        <v>0</v>
      </c>
      <c r="V81" s="433">
        <v>0</v>
      </c>
      <c r="W81" s="433">
        <v>0</v>
      </c>
      <c r="X81" s="434">
        <v>0</v>
      </c>
      <c r="Y81" s="432">
        <v>0</v>
      </c>
      <c r="Z81" s="433">
        <v>0</v>
      </c>
      <c r="AA81" s="433">
        <v>0</v>
      </c>
      <c r="AB81" s="433">
        <v>0</v>
      </c>
      <c r="AC81" s="434">
        <v>0</v>
      </c>
    </row>
    <row r="82" spans="1:29" ht="16.5" thickBot="1">
      <c r="A82" s="405" t="s">
        <v>37</v>
      </c>
      <c r="B82" s="406"/>
      <c r="C82" s="407"/>
      <c r="D82" s="50"/>
      <c r="E82" s="369">
        <f>(Calcoli!G247*E71)</f>
        <v>83629.259874159543</v>
      </c>
      <c r="F82" s="370">
        <f>(Calcoli!H247*F71)</f>
        <v>86191.660396703795</v>
      </c>
      <c r="G82" s="370">
        <f>(Calcoli!I247*G71)</f>
        <v>88832.572871258788</v>
      </c>
      <c r="H82" s="370">
        <f>(Calcoli!J247*H71)</f>
        <v>91554.402904034141</v>
      </c>
      <c r="I82" s="370">
        <f>(Calcoli!K247*I71)</f>
        <v>94359.629809013728</v>
      </c>
      <c r="J82" s="370">
        <f>(Calcoli!L247*J71)</f>
        <v>97250.808866361898</v>
      </c>
      <c r="K82" s="370">
        <f>(Calcoli!M247*K71)</f>
        <v>100230.57365002725</v>
      </c>
      <c r="L82" s="370">
        <f>(Calcoli!N247*L71)</f>
        <v>103301.63842666408</v>
      </c>
      <c r="M82" s="370">
        <f>(Calcoli!O247*M71)</f>
        <v>106466.80062805703</v>
      </c>
      <c r="N82" s="370">
        <f>(Calcoli!P247*N71)</f>
        <v>109728.9433993007</v>
      </c>
      <c r="O82" s="370">
        <f>(Calcoli!Q247*O71)</f>
        <v>113091.03822505526</v>
      </c>
      <c r="P82" s="370">
        <f>(Calcoli!R247*P71)</f>
        <v>116556.14763627095</v>
      </c>
      <c r="Q82" s="370">
        <f>(Calcoli!S247*Q71)</f>
        <v>120127.42799984627</v>
      </c>
      <c r="R82" s="370">
        <f>(Calcoli!T247*R71)</f>
        <v>123808.13239376155</v>
      </c>
      <c r="S82" s="370">
        <f>(Calcoli!U247*S71)</f>
        <v>127601.61357030639</v>
      </c>
      <c r="T82" s="370">
        <f>(Calcoli!V247*T71)</f>
        <v>131511.32701010059</v>
      </c>
      <c r="U82" s="370">
        <f>(Calcoli!W247*U71)</f>
        <v>135540.83406969006</v>
      </c>
      <c r="V82" s="370">
        <f>(Calcoli!X247*V71)</f>
        <v>139693.80522558535</v>
      </c>
      <c r="W82" s="370">
        <f>(Calcoli!Y247*W71)</f>
        <v>143974.02341769726</v>
      </c>
      <c r="X82" s="371">
        <f>(Calcoli!Z247*X71)</f>
        <v>148385.38749521552</v>
      </c>
      <c r="Y82" s="369">
        <f>(Calcoli!AA247*Y71)</f>
        <v>152931.91576806892</v>
      </c>
      <c r="Z82" s="370">
        <f>(Calcoli!AB247*Z71)</f>
        <v>157617.74966720256</v>
      </c>
      <c r="AA82" s="370">
        <f>(Calcoli!AC247*AA71)</f>
        <v>162447.15751700557</v>
      </c>
      <c r="AB82" s="370">
        <f>(Calcoli!AD247*AB71)</f>
        <v>167424.53842332662</v>
      </c>
      <c r="AC82" s="371">
        <f>(Calcoli!AE247*AC71)</f>
        <v>172554.42628061734</v>
      </c>
    </row>
    <row r="83" spans="1:29" ht="16.5" thickBot="1">
      <c r="A83" s="384" t="s">
        <v>134</v>
      </c>
      <c r="B83" s="385"/>
      <c r="C83" s="386"/>
      <c r="D83" s="50"/>
      <c r="E83" s="179">
        <f>SUM(E76:E82)</f>
        <v>113029.84393669844</v>
      </c>
      <c r="F83" s="180">
        <f t="shared" ref="F83:X83" si="24">SUM(F76:F82)</f>
        <v>115327.63920267983</v>
      </c>
      <c r="G83" s="180">
        <f t="shared" si="24"/>
        <v>117706.32786798103</v>
      </c>
      <c r="H83" s="180">
        <f t="shared" si="24"/>
        <v>120168.29410578588</v>
      </c>
      <c r="I83" s="180">
        <f t="shared" si="24"/>
        <v>122715.9959899497</v>
      </c>
      <c r="J83" s="180">
        <f t="shared" si="24"/>
        <v>125351.96775166945</v>
      </c>
      <c r="K83" s="180">
        <f t="shared" si="24"/>
        <v>128078.82210536703</v>
      </c>
      <c r="L83" s="180">
        <f t="shared" si="24"/>
        <v>130899.2526459058</v>
      </c>
      <c r="M83" s="180">
        <f t="shared" si="24"/>
        <v>133816.03631932556</v>
      </c>
      <c r="N83" s="180">
        <f t="shared" si="24"/>
        <v>136832.03596934781</v>
      </c>
      <c r="O83" s="180">
        <f t="shared" si="24"/>
        <v>139950.20296197195</v>
      </c>
      <c r="P83" s="180">
        <f t="shared" si="24"/>
        <v>143173.57989055541</v>
      </c>
      <c r="Q83" s="180">
        <f t="shared" si="24"/>
        <v>146505.30336384216</v>
      </c>
      <c r="R83" s="180">
        <f t="shared" si="24"/>
        <v>149948.60687948146</v>
      </c>
      <c r="S83" s="180">
        <f t="shared" si="24"/>
        <v>153506.82378565482</v>
      </c>
      <c r="T83" s="180">
        <f t="shared" si="24"/>
        <v>157183.39033351091</v>
      </c>
      <c r="U83" s="180">
        <f t="shared" si="24"/>
        <v>160981.84882318968</v>
      </c>
      <c r="V83" s="180">
        <f t="shared" si="24"/>
        <v>164905.85084630345</v>
      </c>
      <c r="W83" s="180">
        <f t="shared" si="24"/>
        <v>168959.16062782891</v>
      </c>
      <c r="X83" s="180">
        <f t="shared" si="24"/>
        <v>173145.65847045596</v>
      </c>
      <c r="Y83" s="179">
        <f t="shared" ref="Y83:AC83" si="25">SUM(Y76:Y82)</f>
        <v>152931.91576806892</v>
      </c>
      <c r="Z83" s="180">
        <f t="shared" si="25"/>
        <v>157617.74966720256</v>
      </c>
      <c r="AA83" s="180">
        <f t="shared" si="25"/>
        <v>162447.15751700557</v>
      </c>
      <c r="AB83" s="180">
        <f t="shared" si="25"/>
        <v>167424.53842332662</v>
      </c>
      <c r="AC83" s="181">
        <f t="shared" si="25"/>
        <v>172554.42628061734</v>
      </c>
    </row>
    <row r="84" spans="1:29" ht="11.25" customHeight="1" thickBot="1">
      <c r="A84" s="52"/>
      <c r="B84" s="50"/>
      <c r="C84" s="50"/>
      <c r="D84" s="50"/>
      <c r="E84" s="55"/>
      <c r="F84" s="55"/>
      <c r="G84" s="55"/>
      <c r="H84" s="55"/>
      <c r="I84" s="55"/>
      <c r="J84" s="55"/>
      <c r="K84" s="55"/>
      <c r="L84" s="55"/>
      <c r="M84" s="55"/>
      <c r="N84" s="55"/>
      <c r="O84" s="55"/>
      <c r="P84" s="55"/>
      <c r="Q84" s="55"/>
      <c r="R84" s="55"/>
      <c r="S84" s="55"/>
      <c r="T84" s="55"/>
      <c r="U84" s="55"/>
      <c r="V84" s="55"/>
      <c r="W84" s="55"/>
      <c r="X84" s="55"/>
      <c r="Y84" s="368"/>
      <c r="Z84" s="368"/>
      <c r="AA84" s="368"/>
      <c r="AB84" s="368"/>
      <c r="AC84" s="368"/>
    </row>
    <row r="85" spans="1:29" ht="15.75">
      <c r="A85" s="378" t="s">
        <v>88</v>
      </c>
      <c r="B85" s="379"/>
      <c r="C85" s="387"/>
      <c r="D85" s="50"/>
      <c r="E85" s="347">
        <f>IF(Calcoli!$L$72=TRUE,Calcoli!G88,0)</f>
        <v>25823.25</v>
      </c>
      <c r="F85" s="348">
        <f>IF(Calcoli!$L$72=TRUE,Calcoli!H88,0)</f>
        <v>51646.5</v>
      </c>
      <c r="G85" s="348">
        <f>IF(Calcoli!$L$72=TRUE,Calcoli!I88,0)</f>
        <v>51646.5</v>
      </c>
      <c r="H85" s="348">
        <f>IF(Calcoli!$L$72=TRUE,Calcoli!J88,0)</f>
        <v>51646.5</v>
      </c>
      <c r="I85" s="348">
        <f>IF(Calcoli!$L$72=TRUE,Calcoli!K88,0)</f>
        <v>51646.5</v>
      </c>
      <c r="J85" s="348">
        <f>IF(Calcoli!$L$72=TRUE,Calcoli!L88,0)</f>
        <v>51646.5</v>
      </c>
      <c r="K85" s="348">
        <f>IF(Calcoli!$L$72=TRUE,Calcoli!M88,0)</f>
        <v>51646.5</v>
      </c>
      <c r="L85" s="348">
        <f>IF(Calcoli!$L$72=TRUE,Calcoli!N88,0)</f>
        <v>51646.5</v>
      </c>
      <c r="M85" s="348">
        <f>IF(Calcoli!$L$72=TRUE,Calcoli!O88,0)</f>
        <v>51646.5</v>
      </c>
      <c r="N85" s="348">
        <f>IF(Calcoli!$L$72=TRUE,Calcoli!P88,0)</f>
        <v>51646.5</v>
      </c>
      <c r="O85" s="348">
        <f>IF(Calcoli!$L$72=TRUE,Calcoli!Q88,0)</f>
        <v>51646.5</v>
      </c>
      <c r="P85" s="348">
        <f>IF(Calcoli!$L$72=TRUE,Calcoli!R88,0)</f>
        <v>31561.75</v>
      </c>
      <c r="Q85" s="348">
        <f>IF(Calcoli!$L$72=TRUE,Calcoli!S88,0)</f>
        <v>0</v>
      </c>
      <c r="R85" s="348">
        <f>IF(Calcoli!$L$72=TRUE,Calcoli!T88,0)</f>
        <v>0</v>
      </c>
      <c r="S85" s="348">
        <f>IF(Calcoli!$L$72=TRUE,Calcoli!U88,0)</f>
        <v>0</v>
      </c>
      <c r="T85" s="348">
        <f>IF(Calcoli!$L$72=TRUE,Calcoli!V88,0)</f>
        <v>0</v>
      </c>
      <c r="U85" s="348">
        <f>IF(Calcoli!$L$72=TRUE,Calcoli!W88,0)</f>
        <v>0</v>
      </c>
      <c r="V85" s="348">
        <f>IF(Calcoli!$L$72=TRUE,Calcoli!X88,0)</f>
        <v>0</v>
      </c>
      <c r="W85" s="348">
        <f>IF(Calcoli!$L$72=TRUE,Calcoli!Y88,0)</f>
        <v>0</v>
      </c>
      <c r="X85" s="348">
        <f>IF(Calcoli!$L$72=TRUE,Calcoli!Z88,0)</f>
        <v>0</v>
      </c>
      <c r="Y85" s="347">
        <f>IF(Calcoli!$L$72=TRUE,Calcoli!AA88,0)</f>
        <v>0</v>
      </c>
      <c r="Z85" s="348">
        <f>IF(Calcoli!$L$72=TRUE,Calcoli!AB88,0)</f>
        <v>0</v>
      </c>
      <c r="AA85" s="348">
        <f>IF(Calcoli!$L$72=TRUE,Calcoli!AC88,0)</f>
        <v>0</v>
      </c>
      <c r="AB85" s="348">
        <f>IF(Calcoli!$L$72=TRUE,Calcoli!AD88,0)</f>
        <v>0</v>
      </c>
      <c r="AC85" s="349">
        <f>IF(Calcoli!$L$72=TRUE,Calcoli!AE88,0)</f>
        <v>0</v>
      </c>
    </row>
    <row r="86" spans="1:29" ht="15.75">
      <c r="A86" s="380" t="s">
        <v>110</v>
      </c>
      <c r="B86" s="381"/>
      <c r="C86" s="388"/>
      <c r="D86" s="50"/>
      <c r="E86" s="350">
        <f>IF(Calcoli!$O$72=FALSE,Calcoli!G68,0)</f>
        <v>0</v>
      </c>
      <c r="F86" s="344">
        <f>IF(Calcoli!$O$72=FALSE,Calcoli!H68,0)</f>
        <v>0</v>
      </c>
      <c r="G86" s="344">
        <f>IF(Calcoli!$O$72=FALSE,Calcoli!I68,0)</f>
        <v>0</v>
      </c>
      <c r="H86" s="344">
        <f>IF(Calcoli!$O$72=FALSE,Calcoli!J68,0)</f>
        <v>0</v>
      </c>
      <c r="I86" s="344">
        <f>IF(Calcoli!$O$72=FALSE,Calcoli!K68,0)</f>
        <v>0</v>
      </c>
      <c r="J86" s="344">
        <f>IF(Calcoli!$O$72=FALSE,Calcoli!L68,0)</f>
        <v>0</v>
      </c>
      <c r="K86" s="344">
        <f>IF(Calcoli!$O$72=FALSE,Calcoli!M68,0)</f>
        <v>0</v>
      </c>
      <c r="L86" s="344">
        <f>IF(Calcoli!$O$72=FALSE,Calcoli!N68,0)</f>
        <v>0</v>
      </c>
      <c r="M86" s="344">
        <f>IF(Calcoli!$O$72=FALSE,Calcoli!O68,0)</f>
        <v>0</v>
      </c>
      <c r="N86" s="344">
        <f>IF(Calcoli!$O$72=FALSE,Calcoli!P68,0)</f>
        <v>0</v>
      </c>
      <c r="O86" s="344">
        <f>IF(Calcoli!$O$72=FALSE,Calcoli!Q68,0)</f>
        <v>0</v>
      </c>
      <c r="P86" s="344">
        <f>IF(Calcoli!$O$72=FALSE,Calcoli!R68,0)</f>
        <v>0</v>
      </c>
      <c r="Q86" s="344">
        <f>IF(Calcoli!$O$72=FALSE,Calcoli!S68,0)</f>
        <v>17377.875363995881</v>
      </c>
      <c r="R86" s="344">
        <f>IF(Calcoli!$O$72=FALSE,Calcoli!T68,0)</f>
        <v>17140.474485719918</v>
      </c>
      <c r="S86" s="344">
        <f>IF(Calcoli!$O$72=FALSE,Calcoli!U68,0)</f>
        <v>16905.210215348441</v>
      </c>
      <c r="T86" s="344">
        <f>IF(Calcoli!$O$72=FALSE,Calcoli!V68,0)</f>
        <v>16672.063323410304</v>
      </c>
      <c r="U86" s="344">
        <f>IF(Calcoli!$O$72=FALSE,Calcoli!W68,0)</f>
        <v>16441.014753499614</v>
      </c>
      <c r="V86" s="344">
        <f>IF(Calcoli!$O$72=FALSE,Calcoli!X68,0)</f>
        <v>16212.045620718109</v>
      </c>
      <c r="W86" s="344">
        <f>IF(Calcoli!$O$72=FALSE,Calcoli!Y68,0)</f>
        <v>15985.137210131648</v>
      </c>
      <c r="X86" s="344">
        <f>IF(Calcoli!$O$72=FALSE,Calcoli!Z68,0)</f>
        <v>15760.270975240459</v>
      </c>
      <c r="Y86" s="350">
        <f>IF(Calcoli!$O$72=FALSE,Calcoli!AA68,0)</f>
        <v>0</v>
      </c>
      <c r="Z86" s="344">
        <f>IF(Calcoli!$O$72=FALSE,Calcoli!AB68,0)</f>
        <v>0</v>
      </c>
      <c r="AA86" s="344">
        <f>IF(Calcoli!$O$72=FALSE,Calcoli!AC68,0)</f>
        <v>0</v>
      </c>
      <c r="AB86" s="344">
        <f>IF(Calcoli!$O$72=FALSE,Calcoli!AD68,0)</f>
        <v>0</v>
      </c>
      <c r="AC86" s="351">
        <f>IF(Calcoli!$O$72=FALSE,Calcoli!AE68,0)</f>
        <v>0</v>
      </c>
    </row>
    <row r="87" spans="1:29" ht="15.75">
      <c r="A87" s="380" t="s">
        <v>86</v>
      </c>
      <c r="B87" s="381"/>
      <c r="C87" s="388"/>
      <c r="D87" s="50"/>
      <c r="E87" s="352">
        <f>IF(Calcoli!$L$76=TRUE,Calcoli!G111,0)</f>
        <v>0</v>
      </c>
      <c r="F87" s="343">
        <f>IF(Calcoli!$L$76=TRUE,Calcoli!H111,0)</f>
        <v>0</v>
      </c>
      <c r="G87" s="343">
        <f>IF(Calcoli!$L$76=TRUE,Calcoli!I111,0)</f>
        <v>0</v>
      </c>
      <c r="H87" s="343">
        <f>IF(Calcoli!$L$76=TRUE,Calcoli!J111,0)</f>
        <v>0</v>
      </c>
      <c r="I87" s="343">
        <f>IF(Calcoli!$L$76=TRUE,Calcoli!K111,0)</f>
        <v>0</v>
      </c>
      <c r="J87" s="343">
        <f>IF(Calcoli!$L$76=TRUE,Calcoli!L111,0)</f>
        <v>0</v>
      </c>
      <c r="K87" s="343">
        <f>IF(Calcoli!$L$76=TRUE,Calcoli!M111,0)</f>
        <v>0</v>
      </c>
      <c r="L87" s="343">
        <f>IF(Calcoli!$L$76=TRUE,Calcoli!N111,0)</f>
        <v>0</v>
      </c>
      <c r="M87" s="343">
        <f>IF(Calcoli!$L$76=TRUE,Calcoli!O111,0)</f>
        <v>0</v>
      </c>
      <c r="N87" s="343">
        <f>IF(Calcoli!$L$76=TRUE,Calcoli!P111,0)</f>
        <v>0</v>
      </c>
      <c r="O87" s="343">
        <f>IF(Calcoli!$L$76=TRUE,Calcoli!Q111,0)</f>
        <v>0</v>
      </c>
      <c r="P87" s="343">
        <f>IF(Calcoli!$L$76=TRUE,Calcoli!R111,0)</f>
        <v>0</v>
      </c>
      <c r="Q87" s="343">
        <f>IF(Calcoli!$L$76=TRUE,Calcoli!S111,0)</f>
        <v>0</v>
      </c>
      <c r="R87" s="343">
        <f>IF(Calcoli!$L$76=TRUE,Calcoli!T111,0)</f>
        <v>0</v>
      </c>
      <c r="S87" s="343">
        <f>IF(Calcoli!$L$76=TRUE,Calcoli!U111,0)</f>
        <v>0</v>
      </c>
      <c r="T87" s="343">
        <f>IF(Calcoli!$L$76=TRUE,Calcoli!V111,0)</f>
        <v>0</v>
      </c>
      <c r="U87" s="343">
        <f>IF(Calcoli!$L$76=TRUE,Calcoli!W111,0)</f>
        <v>0</v>
      </c>
      <c r="V87" s="343">
        <f>IF(Calcoli!$L$76=TRUE,Calcoli!X111,0)</f>
        <v>0</v>
      </c>
      <c r="W87" s="343">
        <f>IF(Calcoli!$L$76=TRUE,Calcoli!Y111,0)</f>
        <v>0</v>
      </c>
      <c r="X87" s="343">
        <f>IF(Calcoli!$L$76=TRUE,Calcoli!Z111,0)</f>
        <v>0</v>
      </c>
      <c r="Y87" s="352">
        <f>IF(Calcoli!$L$76=TRUE,Calcoli!AA111,0)</f>
        <v>0</v>
      </c>
      <c r="Z87" s="343">
        <f>IF(Calcoli!$L$76=TRUE,Calcoli!AB111,0)</f>
        <v>0</v>
      </c>
      <c r="AA87" s="343">
        <f>IF(Calcoli!$L$76=TRUE,Calcoli!AC111,0)</f>
        <v>0</v>
      </c>
      <c r="AB87" s="343">
        <f>IF(Calcoli!$L$76=TRUE,Calcoli!AD111,0)</f>
        <v>0</v>
      </c>
      <c r="AC87" s="353">
        <f>IF(Calcoli!$L$76=TRUE,Calcoli!AE111,0)</f>
        <v>0</v>
      </c>
    </row>
    <row r="88" spans="1:29" ht="15.75">
      <c r="A88" s="380" t="s">
        <v>109</v>
      </c>
      <c r="B88" s="381"/>
      <c r="C88" s="388"/>
      <c r="D88" s="50"/>
      <c r="E88" s="354">
        <f>IF(Calcoli!$L$78=TRUE,E86/100*$K$21,0)</f>
        <v>0</v>
      </c>
      <c r="F88" s="345">
        <f>IF(Calcoli!$L$78=TRUE,F86/100*$K$21,0)</f>
        <v>0</v>
      </c>
      <c r="G88" s="345">
        <f>IF(Calcoli!$L$78=TRUE,G86/100*$K$21,0)</f>
        <v>0</v>
      </c>
      <c r="H88" s="345">
        <f>IF(Calcoli!$L$78=TRUE,H86/100*$K$21,0)</f>
        <v>0</v>
      </c>
      <c r="I88" s="345">
        <f>IF(Calcoli!$L$78=TRUE,I86/100*$K$21,0)</f>
        <v>0</v>
      </c>
      <c r="J88" s="345">
        <f>IF(Calcoli!$L$78=TRUE,J86/100*$K$21,0)</f>
        <v>0</v>
      </c>
      <c r="K88" s="345">
        <f>IF(Calcoli!$L$78=TRUE,K86/100*$K$21,0)</f>
        <v>0</v>
      </c>
      <c r="L88" s="345">
        <f>IF(Calcoli!$L$78=TRUE,L86/100*$K$21,0)</f>
        <v>0</v>
      </c>
      <c r="M88" s="345">
        <f>IF(Calcoli!$L$78=TRUE,M86/100*$K$21,0)</f>
        <v>0</v>
      </c>
      <c r="N88" s="345">
        <f>IF(Calcoli!$L$78=TRUE,N86/100*$K$21,0)</f>
        <v>0</v>
      </c>
      <c r="O88" s="345">
        <f>IF(Calcoli!$L$78=TRUE,O86/100*$K$21,0)</f>
        <v>0</v>
      </c>
      <c r="P88" s="345">
        <f>IF(Calcoli!$L$78=TRUE,P86/100*$K$21,0)</f>
        <v>0</v>
      </c>
      <c r="Q88" s="345">
        <f>IF(Calcoli!$L$78=TRUE,Q86/100*$K$21,0)</f>
        <v>4778.9157250988674</v>
      </c>
      <c r="R88" s="345">
        <f>IF(Calcoli!$L$78=TRUE,R86/100*$K$21,0)</f>
        <v>4713.630483572977</v>
      </c>
      <c r="S88" s="345">
        <f>IF(Calcoli!$L$78=TRUE,S86/100*$K$21,0)</f>
        <v>4648.9328092208216</v>
      </c>
      <c r="T88" s="345">
        <f>IF(Calcoli!$L$78=TRUE,T86/100*$K$21,0)</f>
        <v>4584.8174139378334</v>
      </c>
      <c r="U88" s="345">
        <f>IF(Calcoli!$L$78=TRUE,U86/100*$K$21,0)</f>
        <v>4521.2790572123931</v>
      </c>
      <c r="V88" s="345">
        <f>IF(Calcoli!$L$78=TRUE,V86/100*$K$21,0)</f>
        <v>4458.3125456974803</v>
      </c>
      <c r="W88" s="345">
        <f>IF(Calcoli!$L$78=TRUE,W86/100*$K$21,0)</f>
        <v>4395.9127327862034</v>
      </c>
      <c r="X88" s="345">
        <f>IF(Calcoli!$L$78=TRUE,X86/100*$K$21,0)</f>
        <v>4334.0745181911261</v>
      </c>
      <c r="Y88" s="354">
        <f>IF(Calcoli!$L$78=TRUE,Y86/100*$K$21,0)</f>
        <v>0</v>
      </c>
      <c r="Z88" s="345">
        <f>IF(Calcoli!$L$78=TRUE,Z86/100*$K$21,0)</f>
        <v>0</v>
      </c>
      <c r="AA88" s="345">
        <f>IF(Calcoli!$L$78=TRUE,AA86/100*$K$21,0)</f>
        <v>0</v>
      </c>
      <c r="AB88" s="345">
        <f>IF(Calcoli!$L$78=TRUE,AB86/100*$K$21,0)</f>
        <v>0</v>
      </c>
      <c r="AC88" s="355">
        <f>IF(Calcoli!$L$78=TRUE,AC86/100*$K$21,0)</f>
        <v>0</v>
      </c>
    </row>
    <row r="89" spans="1:29" ht="15.75">
      <c r="A89" s="380" t="s">
        <v>87</v>
      </c>
      <c r="B89" s="381"/>
      <c r="C89" s="388"/>
      <c r="D89" s="50"/>
      <c r="E89" s="352">
        <f>IF(Calcoli!$L$74=TRUE,E86/100*$K$19,0)</f>
        <v>0</v>
      </c>
      <c r="F89" s="343">
        <f>IF(Calcoli!$L$74=TRUE,F86/100*$K$19,0)</f>
        <v>0</v>
      </c>
      <c r="G89" s="343">
        <f>IF(Calcoli!$L$74=TRUE,G86/100*$K$19,0)</f>
        <v>0</v>
      </c>
      <c r="H89" s="343">
        <f>IF(Calcoli!$L$74=TRUE,H86/100*$K$19,0)</f>
        <v>0</v>
      </c>
      <c r="I89" s="343">
        <f>IF(Calcoli!$L$74=TRUE,I86/100*$K$19,0)</f>
        <v>0</v>
      </c>
      <c r="J89" s="343">
        <f>IF(Calcoli!$L$74=TRUE,J86/100*$K$19,0)</f>
        <v>0</v>
      </c>
      <c r="K89" s="343">
        <f>IF(Calcoli!$L$74=TRUE,K86/100*$K$19,0)</f>
        <v>0</v>
      </c>
      <c r="L89" s="343">
        <f>IF(Calcoli!$L$74=TRUE,L86/100*$K$19,0)</f>
        <v>0</v>
      </c>
      <c r="M89" s="343">
        <f>IF(Calcoli!$L$74=TRUE,M86/100*$K$19,0)</f>
        <v>0</v>
      </c>
      <c r="N89" s="343">
        <f>IF(Calcoli!$L$74=TRUE,N86/100*$K$19,0)</f>
        <v>0</v>
      </c>
      <c r="O89" s="343">
        <f>IF(Calcoli!$L$74=TRUE,O86/100*$K$19,0)</f>
        <v>0</v>
      </c>
      <c r="P89" s="343">
        <f>IF(Calcoli!$L$74=TRUE,P86/100*$K$19,0)</f>
        <v>0</v>
      </c>
      <c r="Q89" s="343">
        <f>IF(Calcoli!$L$74=TRUE,Q86/100*$K$19,0)</f>
        <v>677.73713919583929</v>
      </c>
      <c r="R89" s="343">
        <f>IF(Calcoli!$L$74=TRUE,R86/100*$K$19,0)</f>
        <v>668.47850494307681</v>
      </c>
      <c r="S89" s="343">
        <f>IF(Calcoli!$L$74=TRUE,S86/100*$K$19,0)</f>
        <v>659.30319839858919</v>
      </c>
      <c r="T89" s="343">
        <f>IF(Calcoli!$L$74=TRUE,T86/100*$K$19,0)</f>
        <v>650.21046961300192</v>
      </c>
      <c r="U89" s="343">
        <f>IF(Calcoli!$L$74=TRUE,U86/100*$K$19,0)</f>
        <v>641.19957538648487</v>
      </c>
      <c r="V89" s="343">
        <f>IF(Calcoli!$L$74=TRUE,V86/100*$K$19,0)</f>
        <v>632.2697792080063</v>
      </c>
      <c r="W89" s="343">
        <f>IF(Calcoli!$L$74=TRUE,W86/100*$K$19,0)</f>
        <v>623.42035119513423</v>
      </c>
      <c r="X89" s="343">
        <f>IF(Calcoli!$L$74=TRUE,X86/100*$K$19,0)</f>
        <v>614.6505680343779</v>
      </c>
      <c r="Y89" s="352">
        <f>IF(Calcoli!$L$74=TRUE,Y86/100*$K$19,0)</f>
        <v>0</v>
      </c>
      <c r="Z89" s="343">
        <f>IF(Calcoli!$L$74=TRUE,Z86/100*$K$19,0)</f>
        <v>0</v>
      </c>
      <c r="AA89" s="343">
        <f>IF(Calcoli!$L$74=TRUE,AA86/100*$K$19,0)</f>
        <v>0</v>
      </c>
      <c r="AB89" s="343">
        <f>IF(Calcoli!$L$74=TRUE,AB86/100*$K$19,0)</f>
        <v>0</v>
      </c>
      <c r="AC89" s="353">
        <f>IF(Calcoli!$L$74=TRUE,AC86/100*$K$19,0)</f>
        <v>0</v>
      </c>
    </row>
    <row r="90" spans="1:29" ht="15.75">
      <c r="A90" s="380" t="s">
        <v>173</v>
      </c>
      <c r="B90" s="381"/>
      <c r="C90" s="388"/>
      <c r="D90" s="50"/>
      <c r="E90" s="354">
        <f>IF(E100&lt;=$C$48,Finanziamento!J9,0)</f>
        <v>0</v>
      </c>
      <c r="F90" s="345">
        <f>IF(F100&lt;=$C$48,Finanziamento!K9,0)</f>
        <v>0</v>
      </c>
      <c r="G90" s="345">
        <f>IF(G100&lt;=$C$48,Finanziamento!L9,0)</f>
        <v>0</v>
      </c>
      <c r="H90" s="345">
        <f>IF(H100&lt;=$C$48,Finanziamento!M9,0)</f>
        <v>0</v>
      </c>
      <c r="I90" s="345">
        <f>IF(I100&lt;=$C$48,Finanziamento!N9,0)</f>
        <v>0</v>
      </c>
      <c r="J90" s="345">
        <f>IF(J100&lt;=$C$48,Finanziamento!O9,0)</f>
        <v>0</v>
      </c>
      <c r="K90" s="345">
        <f>IF(K100&lt;=$C$48,Finanziamento!P9,0)</f>
        <v>0</v>
      </c>
      <c r="L90" s="345">
        <f>IF(L100&lt;=$C$48,Finanziamento!Q9,0)</f>
        <v>0</v>
      </c>
      <c r="M90" s="345">
        <f>IF(M100&lt;=$C$48,Finanziamento!R9,0)</f>
        <v>0</v>
      </c>
      <c r="N90" s="345">
        <f>IF(N100&lt;=$C$48,Finanziamento!S9,0)</f>
        <v>0</v>
      </c>
      <c r="O90" s="345">
        <f>IF(O100&lt;=$C$48,Finanziamento!T9,0)</f>
        <v>0</v>
      </c>
      <c r="P90" s="345">
        <f>IF(P100&lt;=$C$48,Finanziamento!U9,0)</f>
        <v>0</v>
      </c>
      <c r="Q90" s="345">
        <f>IF(Q100&lt;=$C$48,Finanziamento!V9,0)</f>
        <v>0</v>
      </c>
      <c r="R90" s="345">
        <f>IF(R100&lt;=$C$48,Finanziamento!W9,0)</f>
        <v>0</v>
      </c>
      <c r="S90" s="345">
        <f>IF(S100&lt;=$C$48,Finanziamento!X9,0)</f>
        <v>0</v>
      </c>
      <c r="T90" s="345">
        <f>IF(T100&lt;=$C$48,Finanziamento!Y9,0)</f>
        <v>0</v>
      </c>
      <c r="U90" s="345">
        <f>IF(U100&lt;=$C$48,Finanziamento!Z9,0)</f>
        <v>0</v>
      </c>
      <c r="V90" s="345">
        <f>IF(V100&lt;=$C$48,Finanziamento!AA9,0)</f>
        <v>0</v>
      </c>
      <c r="W90" s="345">
        <f>IF(W100&lt;=$C$48,Finanziamento!AB9,0)</f>
        <v>0</v>
      </c>
      <c r="X90" s="345">
        <f>IF(X100&lt;=$C$48,Finanziamento!AC9,0)</f>
        <v>0</v>
      </c>
      <c r="Y90" s="354">
        <f>IF(Y100&lt;=$C$48,Finanziamento!AD9,0)</f>
        <v>0</v>
      </c>
      <c r="Z90" s="345">
        <f>IF(Z100&lt;=$C$48,Finanziamento!AE9,0)</f>
        <v>0</v>
      </c>
      <c r="AA90" s="345">
        <f>IF(AA100&lt;=$C$48,Finanziamento!AF9,0)</f>
        <v>0</v>
      </c>
      <c r="AB90" s="345">
        <f>IF(AB100&lt;=$C$48,Finanziamento!AG9,0)</f>
        <v>0</v>
      </c>
      <c r="AC90" s="355">
        <f>IF(AC100&lt;=$C$48,Finanziamento!AH9,0)</f>
        <v>0</v>
      </c>
    </row>
    <row r="91" spans="1:29" ht="15.75">
      <c r="A91" s="382" t="s">
        <v>200</v>
      </c>
      <c r="B91" s="383"/>
      <c r="C91" s="390"/>
      <c r="D91" s="50"/>
      <c r="E91" s="356">
        <f>$C$52</f>
        <v>9000</v>
      </c>
      <c r="F91" s="346">
        <f t="shared" ref="F91:AC91" si="26">$C$52</f>
        <v>9000</v>
      </c>
      <c r="G91" s="346">
        <f t="shared" si="26"/>
        <v>9000</v>
      </c>
      <c r="H91" s="346">
        <f t="shared" si="26"/>
        <v>9000</v>
      </c>
      <c r="I91" s="346">
        <f t="shared" si="26"/>
        <v>9000</v>
      </c>
      <c r="J91" s="346">
        <f t="shared" si="26"/>
        <v>9000</v>
      </c>
      <c r="K91" s="346">
        <f t="shared" si="26"/>
        <v>9000</v>
      </c>
      <c r="L91" s="346">
        <f t="shared" si="26"/>
        <v>9000</v>
      </c>
      <c r="M91" s="346">
        <f t="shared" si="26"/>
        <v>9000</v>
      </c>
      <c r="N91" s="346">
        <f t="shared" si="26"/>
        <v>9000</v>
      </c>
      <c r="O91" s="346">
        <f t="shared" si="26"/>
        <v>9000</v>
      </c>
      <c r="P91" s="346">
        <f t="shared" si="26"/>
        <v>9000</v>
      </c>
      <c r="Q91" s="346">
        <f t="shared" si="26"/>
        <v>9000</v>
      </c>
      <c r="R91" s="346">
        <f t="shared" si="26"/>
        <v>9000</v>
      </c>
      <c r="S91" s="346">
        <f t="shared" si="26"/>
        <v>9000</v>
      </c>
      <c r="T91" s="346">
        <f t="shared" si="26"/>
        <v>9000</v>
      </c>
      <c r="U91" s="346">
        <f t="shared" si="26"/>
        <v>9000</v>
      </c>
      <c r="V91" s="346">
        <f t="shared" si="26"/>
        <v>9000</v>
      </c>
      <c r="W91" s="346">
        <f t="shared" si="26"/>
        <v>9000</v>
      </c>
      <c r="X91" s="346">
        <f t="shared" si="26"/>
        <v>9000</v>
      </c>
      <c r="Y91" s="356">
        <f t="shared" si="26"/>
        <v>9000</v>
      </c>
      <c r="Z91" s="346">
        <f t="shared" si="26"/>
        <v>9000</v>
      </c>
      <c r="AA91" s="346">
        <f t="shared" si="26"/>
        <v>9000</v>
      </c>
      <c r="AB91" s="346">
        <f t="shared" si="26"/>
        <v>9000</v>
      </c>
      <c r="AC91" s="357">
        <f t="shared" si="26"/>
        <v>9000</v>
      </c>
    </row>
    <row r="92" spans="1:29" ht="15.75">
      <c r="A92" s="382" t="s">
        <v>199</v>
      </c>
      <c r="B92" s="383"/>
      <c r="C92" s="390"/>
      <c r="D92" s="50"/>
      <c r="E92" s="356">
        <f>IF(Calcoli!R131=1,$C$51,0)</f>
        <v>0</v>
      </c>
      <c r="F92" s="346">
        <f>IF(Calcoli!S131=1,$C$51,0)</f>
        <v>0</v>
      </c>
      <c r="G92" s="346">
        <f>IF(Calcoli!T131=1,$C$51,0)</f>
        <v>0</v>
      </c>
      <c r="H92" s="346">
        <f>IF(Calcoli!U131=1,$C$51,0)</f>
        <v>0</v>
      </c>
      <c r="I92" s="346">
        <f>IF(Calcoli!V131=1,$C$51,0)</f>
        <v>0</v>
      </c>
      <c r="J92" s="346">
        <f>IF(Calcoli!W131=1,$C$51,0)</f>
        <v>0</v>
      </c>
      <c r="K92" s="346">
        <f>IF(Calcoli!X131=1,$C$51,0)</f>
        <v>0</v>
      </c>
      <c r="L92" s="346">
        <f>IF(Calcoli!Y131=1,$C$51,0)</f>
        <v>0</v>
      </c>
      <c r="M92" s="346">
        <f>IF(Calcoli!Z131=1,$C$51,0)</f>
        <v>0</v>
      </c>
      <c r="N92" s="346">
        <f>IF(Calcoli!AA131=1,$C$51,0)</f>
        <v>9000</v>
      </c>
      <c r="O92" s="346">
        <f>IF(Calcoli!AB131=1,$C$51,0)</f>
        <v>0</v>
      </c>
      <c r="P92" s="346">
        <f>IF(Calcoli!AC131=1,$C$51,0)</f>
        <v>0</v>
      </c>
      <c r="Q92" s="346">
        <f>IF(Calcoli!AD131=1,$C$51,0)</f>
        <v>0</v>
      </c>
      <c r="R92" s="346">
        <f>IF(Calcoli!AE131=1,$C$51,0)</f>
        <v>0</v>
      </c>
      <c r="S92" s="346">
        <f>IF(Calcoli!AF131=1,$C$51,0)</f>
        <v>0</v>
      </c>
      <c r="T92" s="346">
        <f>IF(Calcoli!AG131=1,$C$51,0)</f>
        <v>0</v>
      </c>
      <c r="U92" s="346">
        <f>IF(Calcoli!AH131=1,$C$51,0)</f>
        <v>0</v>
      </c>
      <c r="V92" s="346">
        <f>IF(Calcoli!AI131=1,$C$51,0)</f>
        <v>0</v>
      </c>
      <c r="W92" s="346">
        <f>IF(Calcoli!AJ131=1,$C$51,0)</f>
        <v>0</v>
      </c>
      <c r="X92" s="346">
        <f>IF(Calcoli!AK131=1,$C$51,0)</f>
        <v>9000</v>
      </c>
      <c r="Y92" s="356">
        <f>IF(Calcoli!AL131=1,$C$51,0)</f>
        <v>0</v>
      </c>
      <c r="Z92" s="346">
        <f>IF(Calcoli!AM131=1,$C$51,0)</f>
        <v>0</v>
      </c>
      <c r="AA92" s="346">
        <f>IF(Calcoli!AN131=1,$C$51,0)</f>
        <v>0</v>
      </c>
      <c r="AB92" s="346">
        <f>IF(Calcoli!AO131=1,$C$51,0)</f>
        <v>0</v>
      </c>
      <c r="AC92" s="357">
        <f>IF(Calcoli!AP131=1,$C$51,0)</f>
        <v>0</v>
      </c>
    </row>
    <row r="93" spans="1:29" ht="15.75">
      <c r="A93" s="382" t="s">
        <v>79</v>
      </c>
      <c r="B93" s="383"/>
      <c r="C93" s="390"/>
      <c r="D93" s="50"/>
      <c r="E93" s="356">
        <f>IF(Calcoli!$G$1&lt;6,C54,0)</f>
        <v>0</v>
      </c>
      <c r="F93" s="346">
        <v>0</v>
      </c>
      <c r="G93" s="346">
        <v>0</v>
      </c>
      <c r="H93" s="346">
        <v>0</v>
      </c>
      <c r="I93" s="346">
        <v>0</v>
      </c>
      <c r="J93" s="346">
        <v>0</v>
      </c>
      <c r="K93" s="346">
        <v>0</v>
      </c>
      <c r="L93" s="346">
        <v>0</v>
      </c>
      <c r="M93" s="346">
        <v>0</v>
      </c>
      <c r="N93" s="346">
        <v>0</v>
      </c>
      <c r="O93" s="346">
        <v>0</v>
      </c>
      <c r="P93" s="346">
        <v>0</v>
      </c>
      <c r="Q93" s="346">
        <v>0</v>
      </c>
      <c r="R93" s="346">
        <v>0</v>
      </c>
      <c r="S93" s="346">
        <v>0</v>
      </c>
      <c r="T93" s="346">
        <v>0</v>
      </c>
      <c r="U93" s="346">
        <v>0</v>
      </c>
      <c r="V93" s="346">
        <v>0</v>
      </c>
      <c r="W93" s="346">
        <v>0</v>
      </c>
      <c r="X93" s="346">
        <v>0</v>
      </c>
      <c r="Y93" s="356">
        <v>0</v>
      </c>
      <c r="Z93" s="346">
        <v>0</v>
      </c>
      <c r="AA93" s="346">
        <v>0</v>
      </c>
      <c r="AB93" s="346">
        <v>0</v>
      </c>
      <c r="AC93" s="357">
        <v>0</v>
      </c>
    </row>
    <row r="94" spans="1:29" ht="15.75">
      <c r="A94" s="382" t="s">
        <v>78</v>
      </c>
      <c r="B94" s="383"/>
      <c r="C94" s="390"/>
      <c r="D94" s="50"/>
      <c r="E94" s="356">
        <f>IF(Calcoli!$G$1&lt;6,$C$55,0)</f>
        <v>0</v>
      </c>
      <c r="F94" s="346">
        <f>IF(Calcoli!$G$1&lt;6,$C$55,0)</f>
        <v>0</v>
      </c>
      <c r="G94" s="346">
        <f>IF(Calcoli!$G$1&lt;6,$C$55,0)</f>
        <v>0</v>
      </c>
      <c r="H94" s="346">
        <f>IF(Calcoli!$G$1&lt;6,$C$55,0)</f>
        <v>0</v>
      </c>
      <c r="I94" s="346">
        <f>IF(Calcoli!$G$1&lt;6,$C$55,0)</f>
        <v>0</v>
      </c>
      <c r="J94" s="346">
        <f>IF(Calcoli!$G$1&lt;6,$C$55,0)</f>
        <v>0</v>
      </c>
      <c r="K94" s="346">
        <f>IF(Calcoli!$G$1&lt;6,$C$55,0)</f>
        <v>0</v>
      </c>
      <c r="L94" s="346">
        <f>IF(Calcoli!$G$1&lt;6,$C$55,0)</f>
        <v>0</v>
      </c>
      <c r="M94" s="346">
        <f>IF(Calcoli!$G$1&lt;6,$C$55,0)</f>
        <v>0</v>
      </c>
      <c r="N94" s="346">
        <f>IF(Calcoli!$G$1&lt;6,$C$55,0)</f>
        <v>0</v>
      </c>
      <c r="O94" s="346">
        <f>IF(Calcoli!$G$1&lt;6,$C$55,0)</f>
        <v>0</v>
      </c>
      <c r="P94" s="346">
        <f>IF(Calcoli!$G$1&lt;6,$C$55,0)</f>
        <v>0</v>
      </c>
      <c r="Q94" s="346">
        <f>IF(Calcoli!$G$1&lt;6,$C$55,0)</f>
        <v>0</v>
      </c>
      <c r="R94" s="346">
        <f>IF(Calcoli!$G$1&lt;6,$C$55,0)</f>
        <v>0</v>
      </c>
      <c r="S94" s="346">
        <f>IF(Calcoli!$G$1&lt;6,$C$55,0)</f>
        <v>0</v>
      </c>
      <c r="T94" s="346">
        <f>IF(Calcoli!$G$1&lt;6,$C$55,0)</f>
        <v>0</v>
      </c>
      <c r="U94" s="346">
        <f>IF(Calcoli!$G$1&lt;6,$C$55,0)</f>
        <v>0</v>
      </c>
      <c r="V94" s="346">
        <f>IF(Calcoli!$G$1&lt;6,$C$55,0)</f>
        <v>0</v>
      </c>
      <c r="W94" s="346">
        <f>IF(Calcoli!$G$1&lt;6,$C$55,0)</f>
        <v>0</v>
      </c>
      <c r="X94" s="346">
        <f>IF(Calcoli!$G$1&lt;6,$C$55,0)</f>
        <v>0</v>
      </c>
      <c r="Y94" s="356">
        <f>IF(Calcoli!$G$1&lt;6,$C$55,0)</f>
        <v>0</v>
      </c>
      <c r="Z94" s="346">
        <f>IF(Calcoli!$G$1&lt;6,$C$55,0)</f>
        <v>0</v>
      </c>
      <c r="AA94" s="346">
        <f>IF(Calcoli!$G$1&lt;6,$C$55,0)</f>
        <v>0</v>
      </c>
      <c r="AB94" s="346">
        <f>IF(Calcoli!$G$1&lt;6,$C$55,0)</f>
        <v>0</v>
      </c>
      <c r="AC94" s="357">
        <f>IF(Calcoli!$G$1&lt;6,$C$55,0)</f>
        <v>0</v>
      </c>
    </row>
    <row r="95" spans="1:29" ht="15.75">
      <c r="A95" s="382" t="s">
        <v>122</v>
      </c>
      <c r="B95" s="383"/>
      <c r="C95" s="390"/>
      <c r="D95" s="50"/>
      <c r="E95" s="356">
        <f>$C$56</f>
        <v>0</v>
      </c>
      <c r="F95" s="346">
        <v>0</v>
      </c>
      <c r="G95" s="346">
        <v>0</v>
      </c>
      <c r="H95" s="346">
        <v>0</v>
      </c>
      <c r="I95" s="346">
        <v>0</v>
      </c>
      <c r="J95" s="346">
        <v>0</v>
      </c>
      <c r="K95" s="346">
        <v>0</v>
      </c>
      <c r="L95" s="346">
        <v>0</v>
      </c>
      <c r="M95" s="346">
        <v>0</v>
      </c>
      <c r="N95" s="346">
        <v>0</v>
      </c>
      <c r="O95" s="346">
        <v>0</v>
      </c>
      <c r="P95" s="346">
        <v>0</v>
      </c>
      <c r="Q95" s="346">
        <v>0</v>
      </c>
      <c r="R95" s="346">
        <v>0</v>
      </c>
      <c r="S95" s="346">
        <v>0</v>
      </c>
      <c r="T95" s="346">
        <v>0</v>
      </c>
      <c r="U95" s="346">
        <v>0</v>
      </c>
      <c r="V95" s="346">
        <v>0</v>
      </c>
      <c r="W95" s="346">
        <v>0</v>
      </c>
      <c r="X95" s="346">
        <v>0</v>
      </c>
      <c r="Y95" s="356">
        <v>0</v>
      </c>
      <c r="Z95" s="346">
        <v>0</v>
      </c>
      <c r="AA95" s="346">
        <v>0</v>
      </c>
      <c r="AB95" s="346">
        <v>0</v>
      </c>
      <c r="AC95" s="357">
        <v>0</v>
      </c>
    </row>
    <row r="96" spans="1:29" ht="15.75">
      <c r="A96" s="382" t="s">
        <v>82</v>
      </c>
      <c r="B96" s="383"/>
      <c r="C96" s="390"/>
      <c r="D96" s="50"/>
      <c r="E96" s="356">
        <f>$C$57</f>
        <v>50</v>
      </c>
      <c r="F96" s="346">
        <v>0</v>
      </c>
      <c r="G96" s="346">
        <v>0</v>
      </c>
      <c r="H96" s="346">
        <v>0</v>
      </c>
      <c r="I96" s="346">
        <v>0</v>
      </c>
      <c r="J96" s="346">
        <v>0</v>
      </c>
      <c r="K96" s="346">
        <v>0</v>
      </c>
      <c r="L96" s="346">
        <v>0</v>
      </c>
      <c r="M96" s="346">
        <v>0</v>
      </c>
      <c r="N96" s="346">
        <v>0</v>
      </c>
      <c r="O96" s="346">
        <v>0</v>
      </c>
      <c r="P96" s="346">
        <v>0</v>
      </c>
      <c r="Q96" s="346">
        <v>0</v>
      </c>
      <c r="R96" s="346">
        <v>0</v>
      </c>
      <c r="S96" s="346">
        <v>0</v>
      </c>
      <c r="T96" s="346">
        <v>0</v>
      </c>
      <c r="U96" s="346">
        <v>0</v>
      </c>
      <c r="V96" s="346">
        <v>0</v>
      </c>
      <c r="W96" s="346">
        <v>0</v>
      </c>
      <c r="X96" s="346">
        <v>0</v>
      </c>
      <c r="Y96" s="356">
        <v>0</v>
      </c>
      <c r="Z96" s="346">
        <v>0</v>
      </c>
      <c r="AA96" s="346">
        <v>0</v>
      </c>
      <c r="AB96" s="346">
        <v>0</v>
      </c>
      <c r="AC96" s="357">
        <v>0</v>
      </c>
    </row>
    <row r="97" spans="1:29" ht="16.5" thickBot="1">
      <c r="A97" s="382" t="s">
        <v>35</v>
      </c>
      <c r="B97" s="383"/>
      <c r="C97" s="390"/>
      <c r="D97" s="50"/>
      <c r="E97" s="356">
        <f>IF(E100&lt;=$C$59,$C$58,0)</f>
        <v>25</v>
      </c>
      <c r="F97" s="346">
        <f t="shared" ref="F97:AC97" si="27">IF(F100&lt;=$C$59,$C$58,0)</f>
        <v>25</v>
      </c>
      <c r="G97" s="346">
        <f t="shared" si="27"/>
        <v>25</v>
      </c>
      <c r="H97" s="346">
        <f t="shared" si="27"/>
        <v>25</v>
      </c>
      <c r="I97" s="346">
        <f t="shared" si="27"/>
        <v>25</v>
      </c>
      <c r="J97" s="346">
        <f t="shared" si="27"/>
        <v>25</v>
      </c>
      <c r="K97" s="346">
        <f t="shared" si="27"/>
        <v>25</v>
      </c>
      <c r="L97" s="346">
        <f t="shared" si="27"/>
        <v>25</v>
      </c>
      <c r="M97" s="346">
        <f t="shared" si="27"/>
        <v>25</v>
      </c>
      <c r="N97" s="346">
        <f t="shared" si="27"/>
        <v>25</v>
      </c>
      <c r="O97" s="346">
        <f t="shared" si="27"/>
        <v>25</v>
      </c>
      <c r="P97" s="346">
        <f t="shared" si="27"/>
        <v>25</v>
      </c>
      <c r="Q97" s="346">
        <f t="shared" si="27"/>
        <v>25</v>
      </c>
      <c r="R97" s="346">
        <f t="shared" si="27"/>
        <v>25</v>
      </c>
      <c r="S97" s="346">
        <f t="shared" si="27"/>
        <v>25</v>
      </c>
      <c r="T97" s="346">
        <f t="shared" si="27"/>
        <v>25</v>
      </c>
      <c r="U97" s="346">
        <f t="shared" si="27"/>
        <v>25</v>
      </c>
      <c r="V97" s="346">
        <f t="shared" si="27"/>
        <v>25</v>
      </c>
      <c r="W97" s="346">
        <f t="shared" si="27"/>
        <v>25</v>
      </c>
      <c r="X97" s="346">
        <f t="shared" si="27"/>
        <v>25</v>
      </c>
      <c r="Y97" s="372">
        <f t="shared" si="27"/>
        <v>25</v>
      </c>
      <c r="Z97" s="373">
        <f t="shared" si="27"/>
        <v>25</v>
      </c>
      <c r="AA97" s="373">
        <f t="shared" si="27"/>
        <v>25</v>
      </c>
      <c r="AB97" s="373">
        <f t="shared" si="27"/>
        <v>25</v>
      </c>
      <c r="AC97" s="374">
        <f t="shared" si="27"/>
        <v>25</v>
      </c>
    </row>
    <row r="98" spans="1:29" ht="16.5" thickBot="1">
      <c r="A98" s="384" t="s">
        <v>178</v>
      </c>
      <c r="B98" s="385"/>
      <c r="C98" s="386"/>
      <c r="D98" s="50"/>
      <c r="E98" s="179">
        <f>SUM(E87:E97)</f>
        <v>9075</v>
      </c>
      <c r="F98" s="180">
        <f>SUM(F87:F97)</f>
        <v>9025</v>
      </c>
      <c r="G98" s="180">
        <f t="shared" ref="G98:X98" si="28">SUM(G87:G97)</f>
        <v>9025</v>
      </c>
      <c r="H98" s="180">
        <f t="shared" si="28"/>
        <v>9025</v>
      </c>
      <c r="I98" s="180">
        <f t="shared" si="28"/>
        <v>9025</v>
      </c>
      <c r="J98" s="180">
        <f t="shared" si="28"/>
        <v>9025</v>
      </c>
      <c r="K98" s="180">
        <f t="shared" si="28"/>
        <v>9025</v>
      </c>
      <c r="L98" s="180">
        <f t="shared" si="28"/>
        <v>9025</v>
      </c>
      <c r="M98" s="180">
        <f t="shared" si="28"/>
        <v>9025</v>
      </c>
      <c r="N98" s="180">
        <f t="shared" si="28"/>
        <v>18025</v>
      </c>
      <c r="O98" s="180">
        <f t="shared" si="28"/>
        <v>9025</v>
      </c>
      <c r="P98" s="180">
        <f t="shared" si="28"/>
        <v>9025</v>
      </c>
      <c r="Q98" s="180">
        <f t="shared" si="28"/>
        <v>14481.652864294707</v>
      </c>
      <c r="R98" s="180">
        <f t="shared" si="28"/>
        <v>14407.108988516055</v>
      </c>
      <c r="S98" s="180">
        <f t="shared" si="28"/>
        <v>14333.236007619411</v>
      </c>
      <c r="T98" s="180">
        <f t="shared" si="28"/>
        <v>14260.027883550836</v>
      </c>
      <c r="U98" s="180">
        <f t="shared" si="28"/>
        <v>14187.478632598879</v>
      </c>
      <c r="V98" s="180">
        <f t="shared" si="28"/>
        <v>14115.582324905487</v>
      </c>
      <c r="W98" s="180">
        <f t="shared" si="28"/>
        <v>14044.333083981339</v>
      </c>
      <c r="X98" s="180">
        <f t="shared" si="28"/>
        <v>22973.725086225502</v>
      </c>
      <c r="Y98" s="179">
        <f t="shared" ref="Y98:AC98" si="29">SUM(Y87:Y97)</f>
        <v>9025</v>
      </c>
      <c r="Z98" s="180">
        <f t="shared" si="29"/>
        <v>9025</v>
      </c>
      <c r="AA98" s="180">
        <f t="shared" si="29"/>
        <v>9025</v>
      </c>
      <c r="AB98" s="180">
        <f t="shared" si="29"/>
        <v>9025</v>
      </c>
      <c r="AC98" s="181">
        <f t="shared" si="29"/>
        <v>9025</v>
      </c>
    </row>
    <row r="99" spans="1:29" ht="11.25" customHeight="1" thickBot="1">
      <c r="A99" s="41"/>
      <c r="B99" s="50"/>
      <c r="C99" s="50"/>
      <c r="D99" s="50"/>
      <c r="E99" s="54"/>
      <c r="F99" s="54"/>
      <c r="G99" s="54"/>
      <c r="H99" s="54"/>
      <c r="I99" s="54"/>
      <c r="J99" s="54"/>
      <c r="K99" s="54"/>
      <c r="L99" s="54"/>
      <c r="M99" s="54"/>
      <c r="N99" s="54"/>
      <c r="O99" s="54"/>
      <c r="P99" s="54"/>
      <c r="Q99" s="54"/>
      <c r="R99" s="54"/>
      <c r="S99" s="54"/>
      <c r="T99" s="54"/>
      <c r="U99" s="54"/>
      <c r="V99" s="54"/>
      <c r="W99" s="54"/>
      <c r="X99" s="54"/>
      <c r="Y99" s="343"/>
      <c r="Z99" s="54"/>
      <c r="AA99" s="54"/>
      <c r="AB99" s="54"/>
      <c r="AC99" s="54"/>
    </row>
    <row r="100" spans="1:29" ht="16.5" thickBot="1">
      <c r="A100" s="391" t="s">
        <v>92</v>
      </c>
      <c r="B100" s="392"/>
      <c r="C100" s="393"/>
      <c r="D100" s="50"/>
      <c r="E100" s="375">
        <v>1</v>
      </c>
      <c r="F100" s="376">
        <v>2</v>
      </c>
      <c r="G100" s="376">
        <v>3</v>
      </c>
      <c r="H100" s="376">
        <v>4</v>
      </c>
      <c r="I100" s="376">
        <v>5</v>
      </c>
      <c r="J100" s="376">
        <v>6</v>
      </c>
      <c r="K100" s="376">
        <v>7</v>
      </c>
      <c r="L100" s="376">
        <v>8</v>
      </c>
      <c r="M100" s="376">
        <v>9</v>
      </c>
      <c r="N100" s="376">
        <v>10</v>
      </c>
      <c r="O100" s="376">
        <v>11</v>
      </c>
      <c r="P100" s="376">
        <v>12</v>
      </c>
      <c r="Q100" s="376">
        <v>13</v>
      </c>
      <c r="R100" s="376">
        <v>14</v>
      </c>
      <c r="S100" s="376">
        <v>15</v>
      </c>
      <c r="T100" s="376">
        <v>16</v>
      </c>
      <c r="U100" s="376">
        <v>17</v>
      </c>
      <c r="V100" s="376">
        <v>18</v>
      </c>
      <c r="W100" s="376">
        <v>19</v>
      </c>
      <c r="X100" s="376">
        <v>20</v>
      </c>
      <c r="Y100" s="375">
        <v>21</v>
      </c>
      <c r="Z100" s="376">
        <v>22</v>
      </c>
      <c r="AA100" s="376">
        <v>23</v>
      </c>
      <c r="AB100" s="376">
        <v>24</v>
      </c>
      <c r="AC100" s="377">
        <v>25</v>
      </c>
    </row>
    <row r="101" spans="1:29" ht="16.5" thickBot="1">
      <c r="A101" s="394" t="s">
        <v>135</v>
      </c>
      <c r="B101" s="395"/>
      <c r="C101" s="389"/>
      <c r="D101" s="50"/>
      <c r="E101" s="56">
        <f>E102</f>
        <v>-469895.15606330155</v>
      </c>
      <c r="F101" s="56">
        <f t="shared" ref="F101:AC101" si="30">F102-E102</f>
        <v>106302.6392026798</v>
      </c>
      <c r="G101" s="56">
        <f t="shared" si="30"/>
        <v>108681.32786798105</v>
      </c>
      <c r="H101" s="56">
        <f t="shared" si="30"/>
        <v>111143.2941057859</v>
      </c>
      <c r="I101" s="56">
        <f t="shared" si="30"/>
        <v>113690.9959899497</v>
      </c>
      <c r="J101" s="56">
        <f t="shared" si="30"/>
        <v>116326.96775166945</v>
      </c>
      <c r="K101" s="56">
        <f t="shared" si="30"/>
        <v>119053.82210536701</v>
      </c>
      <c r="L101" s="56">
        <f t="shared" si="30"/>
        <v>121874.25264590577</v>
      </c>
      <c r="M101" s="56">
        <f t="shared" si="30"/>
        <v>124791.03631932556</v>
      </c>
      <c r="N101" s="56">
        <f t="shared" si="30"/>
        <v>118807.03596934781</v>
      </c>
      <c r="O101" s="56">
        <f t="shared" si="30"/>
        <v>130925.20296197198</v>
      </c>
      <c r="P101" s="56">
        <f t="shared" si="30"/>
        <v>134148.57989055547</v>
      </c>
      <c r="Q101" s="56">
        <f t="shared" si="30"/>
        <v>132023.65049954748</v>
      </c>
      <c r="R101" s="56">
        <f t="shared" si="30"/>
        <v>135541.49789096543</v>
      </c>
      <c r="S101" s="56">
        <f t="shared" si="30"/>
        <v>139173.58777803532</v>
      </c>
      <c r="T101" s="56">
        <f t="shared" si="30"/>
        <v>142923.36244996008</v>
      </c>
      <c r="U101" s="56">
        <f t="shared" si="30"/>
        <v>146794.37019059085</v>
      </c>
      <c r="V101" s="56">
        <f t="shared" si="30"/>
        <v>150790.26852139784</v>
      </c>
      <c r="W101" s="56">
        <f t="shared" si="30"/>
        <v>154914.8275438475</v>
      </c>
      <c r="X101" s="56">
        <f t="shared" si="30"/>
        <v>150171.93338423059</v>
      </c>
      <c r="Y101" s="56">
        <f t="shared" si="30"/>
        <v>143906.91576806898</v>
      </c>
      <c r="Z101" s="56">
        <f t="shared" si="30"/>
        <v>148592.74966720259</v>
      </c>
      <c r="AA101" s="56">
        <f t="shared" si="30"/>
        <v>153422.15751700569</v>
      </c>
      <c r="AB101" s="56">
        <f t="shared" si="30"/>
        <v>158399.5384233268</v>
      </c>
      <c r="AC101" s="56">
        <f t="shared" si="30"/>
        <v>163529.42628061725</v>
      </c>
    </row>
    <row r="102" spans="1:29" ht="16.5" thickBot="1">
      <c r="A102" s="396" t="s">
        <v>277</v>
      </c>
      <c r="B102" s="397"/>
      <c r="C102" s="398"/>
      <c r="D102" s="50"/>
      <c r="E102" s="56">
        <f>IF(Finanziamento!I4=2,((-(C4*C43))+E83-E98),((-(C4*C43))+C47+E83-E98))</f>
        <v>-469895.15606330155</v>
      </c>
      <c r="F102" s="56">
        <f t="shared" ref="F102:AC102" si="31">E102+F83-F98</f>
        <v>-363592.51686062175</v>
      </c>
      <c r="G102" s="56">
        <f t="shared" si="31"/>
        <v>-254911.1889926407</v>
      </c>
      <c r="H102" s="56">
        <f t="shared" si="31"/>
        <v>-143767.8948868548</v>
      </c>
      <c r="I102" s="56">
        <f t="shared" si="31"/>
        <v>-30076.898896905099</v>
      </c>
      <c r="J102" s="56">
        <f t="shared" si="31"/>
        <v>86250.068854764351</v>
      </c>
      <c r="K102" s="56">
        <f t="shared" si="31"/>
        <v>205303.89096013136</v>
      </c>
      <c r="L102" s="56">
        <f t="shared" si="31"/>
        <v>327178.14360603713</v>
      </c>
      <c r="M102" s="56">
        <f t="shared" si="31"/>
        <v>451969.1799253627</v>
      </c>
      <c r="N102" s="56">
        <f t="shared" si="31"/>
        <v>570776.21589471051</v>
      </c>
      <c r="O102" s="56">
        <f t="shared" si="31"/>
        <v>701701.41885668249</v>
      </c>
      <c r="P102" s="56">
        <f t="shared" si="31"/>
        <v>835849.99874723796</v>
      </c>
      <c r="Q102" s="56">
        <f t="shared" si="31"/>
        <v>967873.64924678544</v>
      </c>
      <c r="R102" s="56">
        <f t="shared" si="31"/>
        <v>1103415.1471377509</v>
      </c>
      <c r="S102" s="56">
        <f t="shared" si="31"/>
        <v>1242588.7349157862</v>
      </c>
      <c r="T102" s="56">
        <f t="shared" si="31"/>
        <v>1385512.0973657463</v>
      </c>
      <c r="U102" s="56">
        <f t="shared" si="31"/>
        <v>1532306.4675563371</v>
      </c>
      <c r="V102" s="56">
        <f t="shared" si="31"/>
        <v>1683096.736077735</v>
      </c>
      <c r="W102" s="56">
        <f t="shared" si="31"/>
        <v>1838011.5636215825</v>
      </c>
      <c r="X102" s="319">
        <f t="shared" si="31"/>
        <v>1988183.4970058131</v>
      </c>
      <c r="Y102" s="56">
        <f t="shared" si="31"/>
        <v>2132090.412773882</v>
      </c>
      <c r="Z102" s="56">
        <f t="shared" si="31"/>
        <v>2280683.1624410846</v>
      </c>
      <c r="AA102" s="56">
        <f t="shared" si="31"/>
        <v>2434105.3199580903</v>
      </c>
      <c r="AB102" s="56">
        <f t="shared" si="31"/>
        <v>2592504.8583814171</v>
      </c>
      <c r="AC102" s="56">
        <f t="shared" si="31"/>
        <v>2756034.2846620344</v>
      </c>
    </row>
    <row r="103" spans="1:29" ht="15.75" thickBot="1">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row>
    <row r="104" spans="1:29" ht="15.75" thickBot="1">
      <c r="A104" s="182"/>
      <c r="B104" s="57" t="s">
        <v>209</v>
      </c>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row>
    <row r="105" spans="1:29" ht="19.5" customHeight="1" thickBot="1">
      <c r="A105" s="95"/>
      <c r="B105" s="57" t="s">
        <v>259</v>
      </c>
      <c r="E105" s="462" t="s">
        <v>270</v>
      </c>
      <c r="F105" s="463"/>
      <c r="G105" s="463"/>
      <c r="H105" s="463"/>
      <c r="I105" s="460">
        <f>Calcoli!D206</f>
        <v>0.24243066454902762</v>
      </c>
      <c r="J105" s="452"/>
      <c r="K105" s="462" t="s">
        <v>271</v>
      </c>
      <c r="L105" s="463"/>
      <c r="M105" s="463"/>
      <c r="N105" s="463"/>
      <c r="O105" s="460">
        <f>Calcoli!D207</f>
        <v>0.2457194808536734</v>
      </c>
    </row>
    <row r="106" spans="1:29" ht="19.5" customHeight="1" thickBot="1">
      <c r="A106" s="98"/>
      <c r="B106" s="57" t="s">
        <v>133</v>
      </c>
      <c r="E106" s="464"/>
      <c r="F106" s="465"/>
      <c r="G106" s="465"/>
      <c r="H106" s="465"/>
      <c r="I106" s="461"/>
      <c r="J106" s="452"/>
      <c r="K106" s="464"/>
      <c r="L106" s="465"/>
      <c r="M106" s="465"/>
      <c r="N106" s="465"/>
      <c r="O106" s="461"/>
    </row>
    <row r="107" spans="1:29" ht="15.75" thickBot="1">
      <c r="A107" s="96"/>
      <c r="B107" s="57" t="s">
        <v>131</v>
      </c>
    </row>
    <row r="108" spans="1:29" ht="15.75" thickBot="1">
      <c r="A108" s="99"/>
      <c r="B108" s="57" t="s">
        <v>132</v>
      </c>
      <c r="E108" s="459"/>
      <c r="F108" s="459"/>
      <c r="G108" s="459"/>
      <c r="H108" s="459"/>
      <c r="I108" s="459"/>
      <c r="J108" s="459"/>
      <c r="K108" s="459"/>
      <c r="L108" s="459"/>
      <c r="M108" s="459"/>
      <c r="N108" s="459"/>
      <c r="O108" s="459"/>
    </row>
    <row r="109" spans="1:29">
      <c r="A109" s="2"/>
      <c r="B109" s="97"/>
    </row>
    <row r="113" spans="5:5">
      <c r="E113" s="454"/>
    </row>
  </sheetData>
  <mergeCells count="33">
    <mergeCell ref="F38:J39"/>
    <mergeCell ref="I47:J47"/>
    <mergeCell ref="F34:J34"/>
    <mergeCell ref="Q9:U9"/>
    <mergeCell ref="Q10:U10"/>
    <mergeCell ref="Q11:V11"/>
    <mergeCell ref="Q12:V12"/>
    <mergeCell ref="Q13:V13"/>
    <mergeCell ref="Q14:V14"/>
    <mergeCell ref="Q15:V15"/>
    <mergeCell ref="Q16:V16"/>
    <mergeCell ref="Q17:V29"/>
    <mergeCell ref="I48:J48"/>
    <mergeCell ref="K105:N106"/>
    <mergeCell ref="A1:G1"/>
    <mergeCell ref="I54:J54"/>
    <mergeCell ref="H52:I52"/>
    <mergeCell ref="A15:C15"/>
    <mergeCell ref="A18:C18"/>
    <mergeCell ref="A8:C8"/>
    <mergeCell ref="A10:C10"/>
    <mergeCell ref="A13:C13"/>
    <mergeCell ref="H24:O25"/>
    <mergeCell ref="I42:J42"/>
    <mergeCell ref="I43:J43"/>
    <mergeCell ref="I41:J41"/>
    <mergeCell ref="F49:J49"/>
    <mergeCell ref="I53:J53"/>
    <mergeCell ref="E108:O108"/>
    <mergeCell ref="O105:O106"/>
    <mergeCell ref="E105:H106"/>
    <mergeCell ref="I105:I106"/>
    <mergeCell ref="E57:J57"/>
  </mergeCells>
  <conditionalFormatting sqref="E101:AC102">
    <cfRule type="cellIs" dxfId="43" priority="169" operator="greaterThan">
      <formula>0</formula>
    </cfRule>
    <cfRule type="cellIs" dxfId="42" priority="170" operator="lessThan">
      <formula>0</formula>
    </cfRule>
    <cfRule type="cellIs" dxfId="41" priority="186" operator="lessThan">
      <formula>0</formula>
    </cfRule>
    <cfRule type="cellIs" dxfId="40" priority="187" operator="greaterThan">
      <formula>0</formula>
    </cfRule>
    <cfRule type="cellIs" dxfId="39" priority="188" operator="greaterThan">
      <formula>0</formula>
    </cfRule>
  </conditionalFormatting>
  <conditionalFormatting sqref="E85:X90 Y86:AC87 F90:AC90">
    <cfRule type="cellIs" dxfId="38" priority="171" operator="equal">
      <formula>0</formula>
    </cfRule>
    <cfRule type="cellIs" dxfId="37" priority="172" operator="equal">
      <formula>0</formula>
    </cfRule>
    <cfRule type="cellIs" dxfId="36" priority="173" operator="equal">
      <formula>0</formula>
    </cfRule>
    <cfRule type="cellIs" dxfId="35" priority="174" operator="equal">
      <formula>0</formula>
    </cfRule>
    <cfRule type="cellIs" dxfId="34" priority="175" operator="greaterThan">
      <formula>0</formula>
    </cfRule>
    <cfRule type="cellIs" dxfId="33" priority="176" operator="equal">
      <formula>0</formula>
    </cfRule>
    <cfRule type="cellIs" dxfId="32" priority="177" operator="greaterThan">
      <formula>0</formula>
    </cfRule>
    <cfRule type="cellIs" dxfId="31" priority="178" operator="greaterThan">
      <formula>0</formula>
    </cfRule>
    <cfRule type="cellIs" dxfId="30" priority="179" operator="equal">
      <formula>0</formula>
    </cfRule>
    <cfRule type="cellIs" dxfId="29" priority="180" operator="lessThan">
      <formula>0</formula>
    </cfRule>
    <cfRule type="cellIs" dxfId="28" priority="183" operator="lessThan">
      <formula>0</formula>
    </cfRule>
    <cfRule type="cellIs" dxfId="27" priority="184" operator="equal">
      <formula>0</formula>
    </cfRule>
    <cfRule type="cellIs" dxfId="26" priority="185" operator="greaterThan">
      <formula>0</formula>
    </cfRule>
  </conditionalFormatting>
  <conditionalFormatting sqref="E85:AC85">
    <cfRule type="cellIs" dxfId="25" priority="181" operator="equal">
      <formula>0</formula>
    </cfRule>
    <cfRule type="cellIs" dxfId="24" priority="182" operator="lessThan">
      <formula>0</formula>
    </cfRule>
  </conditionalFormatting>
  <conditionalFormatting sqref="Y85:AC90">
    <cfRule type="cellIs" dxfId="23" priority="148" operator="equal">
      <formula>0</formula>
    </cfRule>
    <cfRule type="cellIs" dxfId="22" priority="151" operator="equal">
      <formula>0</formula>
    </cfRule>
    <cfRule type="cellIs" dxfId="21" priority="152" operator="equal">
      <formula>0</formula>
    </cfRule>
    <cfRule type="cellIs" dxfId="20" priority="153" operator="equal">
      <formula>0</formula>
    </cfRule>
    <cfRule type="cellIs" dxfId="19" priority="154" operator="equal">
      <formula>0</formula>
    </cfRule>
    <cfRule type="cellIs" dxfId="18" priority="155" operator="greaterThan">
      <formula>0</formula>
    </cfRule>
    <cfRule type="cellIs" dxfId="17" priority="156" operator="equal">
      <formula>0</formula>
    </cfRule>
    <cfRule type="cellIs" dxfId="16" priority="157" operator="greaterThan">
      <formula>0</formula>
    </cfRule>
    <cfRule type="cellIs" dxfId="15" priority="158" operator="greaterThan">
      <formula>0</formula>
    </cfRule>
    <cfRule type="cellIs" dxfId="14" priority="159" operator="equal">
      <formula>0</formula>
    </cfRule>
    <cfRule type="cellIs" dxfId="13" priority="160" operator="lessThan">
      <formula>0</formula>
    </cfRule>
    <cfRule type="cellIs" dxfId="12" priority="161" operator="lessThan">
      <formula>0</formula>
    </cfRule>
    <cfRule type="cellIs" dxfId="11" priority="162" operator="equal">
      <formula>0</formula>
    </cfRule>
    <cfRule type="cellIs" dxfId="10" priority="163" operator="greaterThan">
      <formula>0</formula>
    </cfRule>
  </conditionalFormatting>
  <conditionalFormatting sqref="E76:AC82">
    <cfRule type="cellIs" dxfId="9" priority="134" operator="equal">
      <formula>0</formula>
    </cfRule>
  </conditionalFormatting>
  <conditionalFormatting sqref="E91:AC97">
    <cfRule type="cellIs" dxfId="8" priority="2" operator="equal">
      <formula>0</formula>
    </cfRule>
    <cfRule type="cellIs" dxfId="7" priority="3" operator="greaterThan">
      <formula>0</formula>
    </cfRule>
  </conditionalFormatting>
  <hyperlinks>
    <hyperlink ref="F34" r:id="rId1"/>
    <hyperlink ref="Q11:V11" r:id="rId2" display="Orientamento ottimale dei moduli, gli inseguitori"/>
    <hyperlink ref="Q12:V12" r:id="rId3" display="Migliorare le prestazioni di un impianto "/>
    <hyperlink ref="Q9:U9" r:id="rId4" display="La produttività degli impianti fotovoltaici"/>
    <hyperlink ref="Q13:V13" r:id="rId5" display="Calcolare il rendimento di un pannello fotovoltaico"/>
    <hyperlink ref="Q10:U10" r:id="rId6" display="Il calore fa male ai pannelli fotovoltaici"/>
    <hyperlink ref="F49:J49" location="Finanziamento!A1" display="Clicca per dettagli finanziamento"/>
    <hyperlink ref="Q14:V14" r:id="rId7" display="Confrontare le tariffe energetiche"/>
  </hyperlinks>
  <pageMargins left="0.70866141732283472" right="0.70866141732283472" top="0.74803149606299213" bottom="0.74803149606299213" header="0.31496062992125984" footer="0.31496062992125984"/>
  <pageSetup paperSize="8" scale="73" orientation="landscape" r:id="rId8"/>
  <drawing r:id="rId9"/>
  <legacyDrawing r:id="rId10"/>
</worksheet>
</file>

<file path=xl/worksheets/sheet2.xml><?xml version="1.0" encoding="utf-8"?>
<worksheet xmlns="http://schemas.openxmlformats.org/spreadsheetml/2006/main" xmlns:r="http://schemas.openxmlformats.org/officeDocument/2006/relationships">
  <dimension ref="A1:AI1160"/>
  <sheetViews>
    <sheetView workbookViewId="0">
      <selection activeCell="I1" sqref="I1:AL1048576"/>
    </sheetView>
  </sheetViews>
  <sheetFormatPr defaultRowHeight="15"/>
  <cols>
    <col min="1" max="1" width="4.85546875" customWidth="1"/>
    <col min="2" max="2" width="2.7109375" customWidth="1"/>
    <col min="3" max="3" width="11.7109375" customWidth="1"/>
    <col min="4" max="4" width="14.7109375" customWidth="1"/>
    <col min="5" max="5" width="20.7109375" customWidth="1"/>
    <col min="6" max="7" width="9.140625" customWidth="1"/>
    <col min="8" max="8" width="16" customWidth="1"/>
    <col min="9" max="9" width="9.140625" hidden="1" customWidth="1"/>
    <col min="10" max="10" width="11" hidden="1" customWidth="1"/>
    <col min="11" max="35" width="9.140625" hidden="1" customWidth="1"/>
    <col min="36" max="38" width="0" hidden="1" customWidth="1"/>
  </cols>
  <sheetData>
    <row r="1" spans="1:34" ht="21">
      <c r="A1" s="132"/>
      <c r="B1" s="133"/>
      <c r="C1" s="516" t="s">
        <v>180</v>
      </c>
      <c r="D1" s="516"/>
      <c r="E1" s="516"/>
      <c r="F1" s="516"/>
      <c r="G1" s="516"/>
      <c r="H1" s="516"/>
    </row>
    <row r="2" spans="1:34" ht="16.5">
      <c r="A2" s="134"/>
      <c r="B2" s="135"/>
      <c r="C2" s="136"/>
      <c r="D2" s="136"/>
      <c r="E2" s="136"/>
      <c r="F2" s="136"/>
      <c r="G2" s="136"/>
      <c r="H2" s="136"/>
      <c r="I2" t="s">
        <v>197</v>
      </c>
    </row>
    <row r="3" spans="1:34" ht="19.5">
      <c r="A3" s="134"/>
      <c r="B3" s="137"/>
      <c r="C3" s="138"/>
      <c r="D3" s="137"/>
      <c r="E3" s="139" t="s">
        <v>181</v>
      </c>
      <c r="F3" s="137"/>
      <c r="G3" s="449" t="s">
        <v>261</v>
      </c>
      <c r="H3" s="449"/>
      <c r="I3" t="s">
        <v>91</v>
      </c>
    </row>
    <row r="4" spans="1:34" ht="16.5">
      <c r="A4" s="134"/>
      <c r="B4" s="137"/>
      <c r="C4" s="138" t="s">
        <v>182</v>
      </c>
      <c r="D4" s="137"/>
      <c r="E4" s="140">
        <f>'Simulazione 10.1'!C47</f>
        <v>573900</v>
      </c>
      <c r="F4" s="141"/>
      <c r="G4" s="137"/>
      <c r="H4" s="137"/>
      <c r="I4" s="175">
        <v>2</v>
      </c>
    </row>
    <row r="5" spans="1:34" ht="16.5">
      <c r="A5" s="134"/>
      <c r="B5" s="137"/>
      <c r="C5" s="138" t="s">
        <v>183</v>
      </c>
      <c r="D5" s="138"/>
      <c r="E5" s="142">
        <f>'Simulazione 10.1'!C49/100</f>
        <v>0.08</v>
      </c>
      <c r="F5" s="137"/>
      <c r="G5" s="137"/>
      <c r="H5" s="137"/>
    </row>
    <row r="6" spans="1:34" ht="16.5">
      <c r="A6" s="134"/>
      <c r="B6" s="137"/>
      <c r="C6" s="138" t="s">
        <v>184</v>
      </c>
      <c r="D6" s="138"/>
      <c r="E6" s="143">
        <f>'Simulazione 10.1'!C48</f>
        <v>10</v>
      </c>
      <c r="F6" s="137"/>
      <c r="G6" s="137"/>
      <c r="H6" s="137"/>
      <c r="I6" t="s">
        <v>198</v>
      </c>
      <c r="J6" s="176">
        <f>E9*12</f>
        <v>83555.887680647662</v>
      </c>
    </row>
    <row r="7" spans="1:34" ht="16.5">
      <c r="A7" s="134"/>
      <c r="B7" s="137"/>
      <c r="C7" s="138" t="s">
        <v>185</v>
      </c>
      <c r="D7" s="138"/>
      <c r="E7" s="144">
        <v>42005</v>
      </c>
      <c r="F7" s="137"/>
      <c r="G7" s="137"/>
      <c r="H7" s="137"/>
    </row>
    <row r="8" spans="1:34" ht="16.5">
      <c r="A8" s="134"/>
      <c r="B8" s="137"/>
      <c r="C8" s="138"/>
      <c r="D8" s="137"/>
      <c r="E8" s="145"/>
      <c r="F8" s="137"/>
      <c r="G8" s="137"/>
      <c r="H8" s="137"/>
      <c r="J8">
        <v>1</v>
      </c>
      <c r="K8">
        <v>2</v>
      </c>
      <c r="L8">
        <v>3</v>
      </c>
      <c r="M8">
        <v>4</v>
      </c>
      <c r="N8">
        <v>5</v>
      </c>
      <c r="O8">
        <v>6</v>
      </c>
      <c r="P8">
        <v>7</v>
      </c>
      <c r="Q8">
        <v>8</v>
      </c>
      <c r="R8">
        <v>9</v>
      </c>
      <c r="S8">
        <v>10</v>
      </c>
      <c r="T8">
        <v>11</v>
      </c>
      <c r="U8">
        <v>12</v>
      </c>
      <c r="V8">
        <v>13</v>
      </c>
      <c r="W8">
        <v>14</v>
      </c>
      <c r="X8">
        <v>15</v>
      </c>
      <c r="Y8">
        <v>16</v>
      </c>
      <c r="Z8">
        <v>17</v>
      </c>
      <c r="AA8">
        <v>18</v>
      </c>
      <c r="AB8">
        <v>19</v>
      </c>
      <c r="AC8">
        <v>20</v>
      </c>
      <c r="AD8">
        <v>21</v>
      </c>
      <c r="AE8">
        <v>22</v>
      </c>
      <c r="AF8">
        <v>23</v>
      </c>
      <c r="AG8">
        <v>24</v>
      </c>
      <c r="AH8">
        <v>25</v>
      </c>
    </row>
    <row r="9" spans="1:34" ht="16.5">
      <c r="A9" s="134"/>
      <c r="B9" s="137"/>
      <c r="C9" s="138" t="s">
        <v>186</v>
      </c>
      <c r="D9" s="138"/>
      <c r="E9" s="146">
        <f>IF(Values_Entered,Monthly_Payment,"")</f>
        <v>6962.9906400539721</v>
      </c>
      <c r="F9" s="141"/>
      <c r="G9" s="137"/>
      <c r="H9" s="137"/>
      <c r="J9">
        <f>IF($I$4=2,0,$J$6)</f>
        <v>0</v>
      </c>
      <c r="K9">
        <f t="shared" ref="K9:AH9" si="0">IF($I$4=2,0,$J$6)</f>
        <v>0</v>
      </c>
      <c r="L9">
        <f t="shared" si="0"/>
        <v>0</v>
      </c>
      <c r="M9">
        <f t="shared" si="0"/>
        <v>0</v>
      </c>
      <c r="N9">
        <f t="shared" si="0"/>
        <v>0</v>
      </c>
      <c r="O9">
        <f t="shared" si="0"/>
        <v>0</v>
      </c>
      <c r="P9">
        <f t="shared" si="0"/>
        <v>0</v>
      </c>
      <c r="Q9">
        <f t="shared" si="0"/>
        <v>0</v>
      </c>
      <c r="R9">
        <f t="shared" si="0"/>
        <v>0</v>
      </c>
      <c r="S9">
        <f t="shared" si="0"/>
        <v>0</v>
      </c>
      <c r="T9">
        <f t="shared" si="0"/>
        <v>0</v>
      </c>
      <c r="U9">
        <f t="shared" si="0"/>
        <v>0</v>
      </c>
      <c r="V9">
        <f t="shared" si="0"/>
        <v>0</v>
      </c>
      <c r="W9">
        <f t="shared" si="0"/>
        <v>0</v>
      </c>
      <c r="X9">
        <f t="shared" si="0"/>
        <v>0</v>
      </c>
      <c r="Y9">
        <f t="shared" si="0"/>
        <v>0</v>
      </c>
      <c r="Z9">
        <f t="shared" si="0"/>
        <v>0</v>
      </c>
      <c r="AA9">
        <f t="shared" si="0"/>
        <v>0</v>
      </c>
      <c r="AB9">
        <f t="shared" si="0"/>
        <v>0</v>
      </c>
      <c r="AC9">
        <f t="shared" si="0"/>
        <v>0</v>
      </c>
      <c r="AD9">
        <f t="shared" si="0"/>
        <v>0</v>
      </c>
      <c r="AE9">
        <f t="shared" si="0"/>
        <v>0</v>
      </c>
      <c r="AF9">
        <f t="shared" si="0"/>
        <v>0</v>
      </c>
      <c r="AG9">
        <f t="shared" si="0"/>
        <v>0</v>
      </c>
      <c r="AH9">
        <f t="shared" si="0"/>
        <v>0</v>
      </c>
    </row>
    <row r="10" spans="1:34" ht="16.5">
      <c r="A10" s="134"/>
      <c r="B10" s="137"/>
      <c r="C10" s="138" t="s">
        <v>187</v>
      </c>
      <c r="D10" s="138"/>
      <c r="E10" s="147">
        <f>IF(Values_Entered,Loan_Years*12,"")</f>
        <v>120</v>
      </c>
      <c r="F10" s="137"/>
      <c r="G10" s="137"/>
      <c r="H10" s="137"/>
    </row>
    <row r="11" spans="1:34" ht="16.5">
      <c r="A11" s="134"/>
      <c r="B11" s="137"/>
      <c r="C11" s="138" t="s">
        <v>188</v>
      </c>
      <c r="D11" s="137"/>
      <c r="E11" s="148">
        <f>IF(Values_Entered,Total_Cost-Loan_Amount,"")</f>
        <v>261658.87680647662</v>
      </c>
      <c r="F11" s="137"/>
      <c r="G11" s="137"/>
      <c r="H11" s="137"/>
    </row>
    <row r="12" spans="1:34" ht="16.5">
      <c r="A12" s="134"/>
      <c r="B12" s="137"/>
      <c r="C12" s="138" t="s">
        <v>189</v>
      </c>
      <c r="D12" s="138"/>
      <c r="E12" s="148">
        <f>IF(Values_Entered,Monthly_Payment*Number_of_Payments,"")</f>
        <v>835558.87680647662</v>
      </c>
      <c r="F12" s="137"/>
      <c r="G12" s="137"/>
      <c r="H12" s="137"/>
    </row>
    <row r="13" spans="1:34" ht="16.5">
      <c r="A13" s="134"/>
      <c r="B13" s="137"/>
      <c r="C13" s="138"/>
      <c r="D13" s="137"/>
      <c r="E13" s="145"/>
      <c r="F13" s="137"/>
      <c r="G13" s="137"/>
      <c r="H13" s="137"/>
    </row>
    <row r="14" spans="1:34" ht="16.5">
      <c r="A14" s="134"/>
      <c r="B14" s="137"/>
      <c r="C14" s="138"/>
      <c r="D14" s="137"/>
      <c r="E14" s="145"/>
      <c r="F14" s="137"/>
      <c r="G14" s="137"/>
      <c r="H14" s="137"/>
    </row>
    <row r="15" spans="1:34" ht="30">
      <c r="A15" s="149"/>
      <c r="B15" s="150" t="s">
        <v>190</v>
      </c>
      <c r="C15" s="151" t="s">
        <v>191</v>
      </c>
      <c r="D15" s="152" t="s">
        <v>192</v>
      </c>
      <c r="E15" s="152" t="s">
        <v>193</v>
      </c>
      <c r="F15" s="152" t="s">
        <v>194</v>
      </c>
      <c r="G15" s="152" t="s">
        <v>195</v>
      </c>
      <c r="H15" s="151" t="s">
        <v>196</v>
      </c>
    </row>
    <row r="16" spans="1:34" ht="16.5">
      <c r="A16" s="149"/>
      <c r="B16" s="153">
        <v>1</v>
      </c>
      <c r="C16" s="154">
        <v>42036</v>
      </c>
      <c r="D16" s="155">
        <v>42610</v>
      </c>
      <c r="E16" s="155">
        <v>516.97687954817866</v>
      </c>
      <c r="F16" s="155">
        <v>232.910212881512</v>
      </c>
      <c r="G16" s="155">
        <v>284.06666666666666</v>
      </c>
      <c r="H16" s="155">
        <v>42377.089787118493</v>
      </c>
    </row>
    <row r="17" spans="1:8" ht="16.5">
      <c r="A17" s="149"/>
      <c r="B17" s="153">
        <v>2</v>
      </c>
      <c r="C17" s="154">
        <v>42064</v>
      </c>
      <c r="D17" s="155">
        <v>42377.089787118493</v>
      </c>
      <c r="E17" s="155">
        <v>516.97687954817866</v>
      </c>
      <c r="F17" s="155">
        <v>234.46294763405535</v>
      </c>
      <c r="G17" s="155">
        <v>282.5139319141233</v>
      </c>
      <c r="H17" s="155">
        <v>42142.626839484437</v>
      </c>
    </row>
    <row r="18" spans="1:8" ht="16.5">
      <c r="A18" s="149"/>
      <c r="B18" s="153">
        <v>3</v>
      </c>
      <c r="C18" s="154">
        <v>42095</v>
      </c>
      <c r="D18" s="155">
        <v>42142.626839484437</v>
      </c>
      <c r="E18" s="155">
        <v>516.97687954817866</v>
      </c>
      <c r="F18" s="155">
        <v>236.02603395161572</v>
      </c>
      <c r="G18" s="155">
        <v>280.95084559656294</v>
      </c>
      <c r="H18" s="155">
        <v>41906.60080553282</v>
      </c>
    </row>
    <row r="19" spans="1:8" ht="16.5">
      <c r="A19" s="149"/>
      <c r="B19" s="153">
        <v>4</v>
      </c>
      <c r="C19" s="154">
        <v>42125</v>
      </c>
      <c r="D19" s="155">
        <v>41906.60080553282</v>
      </c>
      <c r="E19" s="155">
        <v>516.97687954817866</v>
      </c>
      <c r="F19" s="155">
        <v>237.59954084462652</v>
      </c>
      <c r="G19" s="155">
        <v>279.37733870355214</v>
      </c>
      <c r="H19" s="155">
        <v>41669.001264688195</v>
      </c>
    </row>
    <row r="20" spans="1:8" ht="16.5">
      <c r="A20" s="149"/>
      <c r="B20" s="153">
        <v>5</v>
      </c>
      <c r="C20" s="154">
        <v>42156</v>
      </c>
      <c r="D20" s="155">
        <v>41669.001264688195</v>
      </c>
      <c r="E20" s="155">
        <v>516.97687954817866</v>
      </c>
      <c r="F20" s="155">
        <v>239.18353778359068</v>
      </c>
      <c r="G20" s="155">
        <v>277.79334176458798</v>
      </c>
      <c r="H20" s="155">
        <v>41429.817726904606</v>
      </c>
    </row>
    <row r="21" spans="1:8" ht="16.5">
      <c r="A21" s="149"/>
      <c r="B21" s="153">
        <v>6</v>
      </c>
      <c r="C21" s="154">
        <v>42186</v>
      </c>
      <c r="D21" s="155">
        <v>41429.817726904606</v>
      </c>
      <c r="E21" s="155">
        <v>516.97687954817866</v>
      </c>
      <c r="F21" s="155">
        <v>240.77809470214794</v>
      </c>
      <c r="G21" s="155">
        <v>276.19878484603072</v>
      </c>
      <c r="H21" s="155">
        <v>41189.039632202468</v>
      </c>
    </row>
    <row r="22" spans="1:8" ht="16.5">
      <c r="A22" s="134"/>
      <c r="B22" s="153">
        <v>7</v>
      </c>
      <c r="C22" s="154">
        <v>42217</v>
      </c>
      <c r="D22" s="155">
        <v>41189.039632202468</v>
      </c>
      <c r="E22" s="155">
        <v>516.97687954817866</v>
      </c>
      <c r="F22" s="155">
        <v>242.38328200016218</v>
      </c>
      <c r="G22" s="155">
        <v>274.59359754801648</v>
      </c>
      <c r="H22" s="155">
        <v>40946.656350202305</v>
      </c>
    </row>
    <row r="23" spans="1:8" ht="16.5">
      <c r="A23" s="134"/>
      <c r="B23" s="153">
        <v>8</v>
      </c>
      <c r="C23" s="154">
        <v>42248</v>
      </c>
      <c r="D23" s="155">
        <v>40946.656350202305</v>
      </c>
      <c r="E23" s="155">
        <v>516.97687954817866</v>
      </c>
      <c r="F23" s="155">
        <v>243.99917054682993</v>
      </c>
      <c r="G23" s="155">
        <v>272.97770900134873</v>
      </c>
      <c r="H23" s="155">
        <v>40702.657179655478</v>
      </c>
    </row>
    <row r="24" spans="1:8" ht="16.5">
      <c r="A24" s="134"/>
      <c r="B24" s="153">
        <v>9</v>
      </c>
      <c r="C24" s="154">
        <v>42278</v>
      </c>
      <c r="D24" s="155">
        <v>40702.657179655478</v>
      </c>
      <c r="E24" s="155">
        <v>516.97687954817866</v>
      </c>
      <c r="F24" s="155">
        <v>245.62583168380877</v>
      </c>
      <c r="G24" s="155">
        <v>271.35104786436989</v>
      </c>
      <c r="H24" s="155">
        <v>40457.031347971671</v>
      </c>
    </row>
    <row r="25" spans="1:8" ht="16.5">
      <c r="A25" s="134"/>
      <c r="B25" s="153">
        <v>10</v>
      </c>
      <c r="C25" s="154">
        <v>42309</v>
      </c>
      <c r="D25" s="155">
        <v>40457.031347971671</v>
      </c>
      <c r="E25" s="155">
        <v>516.97687954817866</v>
      </c>
      <c r="F25" s="155">
        <v>247.2633372283675</v>
      </c>
      <c r="G25" s="155">
        <v>269.71354231981115</v>
      </c>
      <c r="H25" s="155">
        <v>40209.768010743304</v>
      </c>
    </row>
    <row r="26" spans="1:8" ht="16.5">
      <c r="A26" s="134"/>
      <c r="B26" s="153">
        <v>11</v>
      </c>
      <c r="C26" s="154">
        <v>42339</v>
      </c>
      <c r="D26" s="155">
        <v>40209.768010743304</v>
      </c>
      <c r="E26" s="155">
        <v>516.97687954817866</v>
      </c>
      <c r="F26" s="155">
        <v>248.9117594765566</v>
      </c>
      <c r="G26" s="155">
        <v>268.06512007162206</v>
      </c>
      <c r="H26" s="155">
        <v>39960.856251266749</v>
      </c>
    </row>
    <row r="27" spans="1:8" ht="16.5">
      <c r="A27" s="134"/>
      <c r="B27" s="153">
        <v>12</v>
      </c>
      <c r="C27" s="154">
        <v>42370</v>
      </c>
      <c r="D27" s="155">
        <v>39960.856251266749</v>
      </c>
      <c r="E27" s="155">
        <v>516.97687954817866</v>
      </c>
      <c r="F27" s="155">
        <v>250.57117120640032</v>
      </c>
      <c r="G27" s="155">
        <v>266.40570834177834</v>
      </c>
      <c r="H27" s="155">
        <v>39710.285080060348</v>
      </c>
    </row>
    <row r="28" spans="1:8" ht="16.5">
      <c r="A28" s="134"/>
      <c r="B28" s="153">
        <v>13</v>
      </c>
      <c r="C28" s="154">
        <v>42401</v>
      </c>
      <c r="D28" s="155">
        <v>39710.285080060348</v>
      </c>
      <c r="E28" s="155">
        <v>516.97687954817866</v>
      </c>
      <c r="F28" s="155">
        <v>252.24164568110967</v>
      </c>
      <c r="G28" s="155">
        <v>264.73523386706898</v>
      </c>
      <c r="H28" s="155">
        <v>39458.043434379244</v>
      </c>
    </row>
    <row r="29" spans="1:8" ht="16.5">
      <c r="A29" s="134"/>
      <c r="B29" s="153">
        <v>14</v>
      </c>
      <c r="C29" s="154">
        <v>42430</v>
      </c>
      <c r="D29" s="155">
        <v>39458.043434379244</v>
      </c>
      <c r="E29" s="155">
        <v>516.97687954817866</v>
      </c>
      <c r="F29" s="155">
        <v>253.92325665231704</v>
      </c>
      <c r="G29" s="155">
        <v>263.05362289586162</v>
      </c>
      <c r="H29" s="155">
        <v>39204.120177726931</v>
      </c>
    </row>
    <row r="30" spans="1:8" ht="16.5">
      <c r="A30" s="134"/>
      <c r="B30" s="153">
        <v>15</v>
      </c>
      <c r="C30" s="154">
        <v>42461</v>
      </c>
      <c r="D30" s="155">
        <v>39204.120177726931</v>
      </c>
      <c r="E30" s="155">
        <v>516.97687954817866</v>
      </c>
      <c r="F30" s="155">
        <v>255.61607836333246</v>
      </c>
      <c r="G30" s="155">
        <v>261.3608011848462</v>
      </c>
      <c r="H30" s="155">
        <v>38948.504099363607</v>
      </c>
    </row>
    <row r="31" spans="1:8" ht="16.5">
      <c r="A31" s="134"/>
      <c r="B31" s="153">
        <v>16</v>
      </c>
      <c r="C31" s="154">
        <v>42491</v>
      </c>
      <c r="D31" s="155">
        <v>38948.504099363607</v>
      </c>
      <c r="E31" s="155">
        <v>516.97687954817866</v>
      </c>
      <c r="F31" s="155">
        <v>257.32018555242126</v>
      </c>
      <c r="G31" s="155">
        <v>259.65669399575739</v>
      </c>
      <c r="H31" s="155">
        <v>38691.183913811183</v>
      </c>
    </row>
    <row r="32" spans="1:8" ht="16.5">
      <c r="A32" s="134"/>
      <c r="B32" s="153">
        <v>17</v>
      </c>
      <c r="C32" s="154">
        <v>42522</v>
      </c>
      <c r="D32" s="155">
        <v>38691.183913811183</v>
      </c>
      <c r="E32" s="155">
        <v>516.97687954817866</v>
      </c>
      <c r="F32" s="155">
        <v>259.03565345610411</v>
      </c>
      <c r="G32" s="155">
        <v>257.94122609207454</v>
      </c>
      <c r="H32" s="155">
        <v>38432.148260355068</v>
      </c>
    </row>
    <row r="33" spans="1:8" ht="16.5">
      <c r="A33" s="134"/>
      <c r="B33" s="153">
        <v>18</v>
      </c>
      <c r="C33" s="154">
        <v>42552</v>
      </c>
      <c r="D33" s="155">
        <v>38432.148260355068</v>
      </c>
      <c r="E33" s="155">
        <v>516.97687954817866</v>
      </c>
      <c r="F33" s="155">
        <v>260.76255781247818</v>
      </c>
      <c r="G33" s="155">
        <v>256.21432173570048</v>
      </c>
      <c r="H33" s="155">
        <v>38171.385702542597</v>
      </c>
    </row>
    <row r="34" spans="1:8" ht="16.5">
      <c r="A34" s="134"/>
      <c r="B34" s="153">
        <v>19</v>
      </c>
      <c r="C34" s="154">
        <v>42583</v>
      </c>
      <c r="D34" s="155">
        <v>38171.385702542597</v>
      </c>
      <c r="E34" s="155">
        <v>516.97687954817866</v>
      </c>
      <c r="F34" s="155">
        <v>262.50097486456133</v>
      </c>
      <c r="G34" s="155">
        <v>254.47590468361733</v>
      </c>
      <c r="H34" s="155">
        <v>37908.884727678036</v>
      </c>
    </row>
    <row r="35" spans="1:8" ht="16.5">
      <c r="A35" s="134"/>
      <c r="B35" s="153">
        <v>20</v>
      </c>
      <c r="C35" s="154">
        <v>42614</v>
      </c>
      <c r="D35" s="155">
        <v>37908.884727678036</v>
      </c>
      <c r="E35" s="155">
        <v>516.97687954817866</v>
      </c>
      <c r="F35" s="155">
        <v>264.25098136365841</v>
      </c>
      <c r="G35" s="155">
        <v>252.72589818452025</v>
      </c>
      <c r="H35" s="155">
        <v>37644.633746314386</v>
      </c>
    </row>
    <row r="36" spans="1:8" ht="16.5">
      <c r="A36" s="134"/>
      <c r="B36" s="153">
        <v>21</v>
      </c>
      <c r="C36" s="154">
        <v>42644</v>
      </c>
      <c r="D36" s="155">
        <v>37644.633746314386</v>
      </c>
      <c r="E36" s="155">
        <v>516.97687954817866</v>
      </c>
      <c r="F36" s="155">
        <v>266.0126545727494</v>
      </c>
      <c r="G36" s="155">
        <v>250.96422497542926</v>
      </c>
      <c r="H36" s="155">
        <v>37378.621091741639</v>
      </c>
    </row>
    <row r="37" spans="1:8" ht="16.5">
      <c r="A37" s="134"/>
      <c r="B37" s="153">
        <v>22</v>
      </c>
      <c r="C37" s="154">
        <v>42675</v>
      </c>
      <c r="D37" s="155">
        <v>37378.621091741639</v>
      </c>
      <c r="E37" s="155">
        <v>516.97687954817866</v>
      </c>
      <c r="F37" s="155">
        <v>267.78607226990107</v>
      </c>
      <c r="G37" s="155">
        <v>249.19080727827762</v>
      </c>
      <c r="H37" s="155">
        <v>37110.835019471742</v>
      </c>
    </row>
    <row r="38" spans="1:8" ht="16.5">
      <c r="A38" s="134"/>
      <c r="B38" s="153">
        <v>23</v>
      </c>
      <c r="C38" s="154">
        <v>42705</v>
      </c>
      <c r="D38" s="155">
        <v>37110.835019471742</v>
      </c>
      <c r="E38" s="155">
        <v>516.97687954817866</v>
      </c>
      <c r="F38" s="155">
        <v>269.57131275170036</v>
      </c>
      <c r="G38" s="155">
        <v>247.4055667964783</v>
      </c>
      <c r="H38" s="155">
        <v>36841.263706720041</v>
      </c>
    </row>
    <row r="39" spans="1:8" ht="16.5">
      <c r="A39" s="134"/>
      <c r="B39" s="153">
        <v>24</v>
      </c>
      <c r="C39" s="154">
        <v>42736</v>
      </c>
      <c r="D39" s="155">
        <v>36841.263706720041</v>
      </c>
      <c r="E39" s="155">
        <v>516.97687954817866</v>
      </c>
      <c r="F39" s="155">
        <v>271.36845483671169</v>
      </c>
      <c r="G39" s="155">
        <v>245.60842471146697</v>
      </c>
      <c r="H39" s="155">
        <v>36569.895251883332</v>
      </c>
    </row>
    <row r="40" spans="1:8" ht="16.5">
      <c r="A40" s="134"/>
      <c r="B40" s="153">
        <v>25</v>
      </c>
      <c r="C40" s="154">
        <v>42767</v>
      </c>
      <c r="D40" s="155">
        <v>36569.895251883332</v>
      </c>
      <c r="E40" s="155">
        <v>516.97687954817866</v>
      </c>
      <c r="F40" s="155">
        <v>273.1775778689564</v>
      </c>
      <c r="G40" s="155">
        <v>243.79930167922222</v>
      </c>
      <c r="H40" s="155">
        <v>36296.717674014384</v>
      </c>
    </row>
    <row r="41" spans="1:8" ht="16.5">
      <c r="A41" s="134"/>
      <c r="B41" s="153">
        <v>26</v>
      </c>
      <c r="C41" s="154">
        <v>42795</v>
      </c>
      <c r="D41" s="155">
        <v>36296.717674014384</v>
      </c>
      <c r="E41" s="155">
        <v>516.97687954817866</v>
      </c>
      <c r="F41" s="155">
        <v>274.99876172141609</v>
      </c>
      <c r="G41" s="155">
        <v>241.97811782676257</v>
      </c>
      <c r="H41" s="155">
        <v>36021.718912292956</v>
      </c>
    </row>
    <row r="42" spans="1:8" ht="16.5">
      <c r="A42" s="134"/>
      <c r="B42" s="153">
        <v>27</v>
      </c>
      <c r="C42" s="154">
        <v>42826</v>
      </c>
      <c r="D42" s="155">
        <v>36021.718912292956</v>
      </c>
      <c r="E42" s="155">
        <v>516.97687954817866</v>
      </c>
      <c r="F42" s="155">
        <v>276.83208679955897</v>
      </c>
      <c r="G42" s="155">
        <v>240.14479274861972</v>
      </c>
      <c r="H42" s="155">
        <v>35744.886825493406</v>
      </c>
    </row>
    <row r="43" spans="1:8" ht="16.5">
      <c r="A43" s="134"/>
      <c r="B43" s="153">
        <v>28</v>
      </c>
      <c r="C43" s="154">
        <v>42856</v>
      </c>
      <c r="D43" s="155">
        <v>35744.886825493406</v>
      </c>
      <c r="E43" s="155">
        <v>516.97687954817866</v>
      </c>
      <c r="F43" s="155">
        <v>278.67763404488926</v>
      </c>
      <c r="G43" s="155">
        <v>238.2992455032894</v>
      </c>
      <c r="H43" s="155">
        <v>35466.209191448521</v>
      </c>
    </row>
    <row r="44" spans="1:8" ht="16.5">
      <c r="A44" s="134"/>
      <c r="B44" s="153">
        <v>29</v>
      </c>
      <c r="C44" s="154">
        <v>42887</v>
      </c>
      <c r="D44" s="155">
        <v>35466.209191448521</v>
      </c>
      <c r="E44" s="155">
        <v>516.97687954817866</v>
      </c>
      <c r="F44" s="155">
        <v>280.53548493852185</v>
      </c>
      <c r="G44" s="155">
        <v>236.44139460965681</v>
      </c>
      <c r="H44" s="155">
        <v>35185.673706510002</v>
      </c>
    </row>
    <row r="45" spans="1:8" ht="16.5">
      <c r="A45" s="134"/>
      <c r="B45" s="153">
        <v>30</v>
      </c>
      <c r="C45" s="154">
        <v>42917</v>
      </c>
      <c r="D45" s="155">
        <v>35185.673706510002</v>
      </c>
      <c r="E45" s="155">
        <v>516.97687954817866</v>
      </c>
      <c r="F45" s="155">
        <v>282.40572150477863</v>
      </c>
      <c r="G45" s="155">
        <v>234.57115804340003</v>
      </c>
      <c r="H45" s="155">
        <v>34903.267985005223</v>
      </c>
    </row>
    <row r="46" spans="1:8" ht="16.5">
      <c r="A46" s="134"/>
      <c r="B46" s="153">
        <v>31</v>
      </c>
      <c r="C46" s="154">
        <v>42948</v>
      </c>
      <c r="D46" s="155">
        <v>34903.267985005223</v>
      </c>
      <c r="E46" s="155">
        <v>516.97687954817866</v>
      </c>
      <c r="F46" s="155">
        <v>284.28842631481052</v>
      </c>
      <c r="G46" s="155">
        <v>232.68845323336816</v>
      </c>
      <c r="H46" s="155">
        <v>34618.979558690422</v>
      </c>
    </row>
    <row r="47" spans="1:8" ht="16.5">
      <c r="A47" s="134"/>
      <c r="B47" s="153">
        <v>32</v>
      </c>
      <c r="C47" s="154">
        <v>42979</v>
      </c>
      <c r="D47" s="155">
        <v>34618.979558690422</v>
      </c>
      <c r="E47" s="155">
        <v>516.97687954817866</v>
      </c>
      <c r="F47" s="155">
        <v>286.18368249024252</v>
      </c>
      <c r="G47" s="155">
        <v>230.79319705793617</v>
      </c>
      <c r="H47" s="155">
        <v>34332.79587620018</v>
      </c>
    </row>
    <row r="48" spans="1:8" ht="16.5">
      <c r="A48" s="134"/>
      <c r="B48" s="153">
        <v>33</v>
      </c>
      <c r="C48" s="154">
        <v>43009</v>
      </c>
      <c r="D48" s="155">
        <v>34332.79587620018</v>
      </c>
      <c r="E48" s="155">
        <v>516.97687954817866</v>
      </c>
      <c r="F48" s="155">
        <v>288.09157370684409</v>
      </c>
      <c r="G48" s="155">
        <v>228.88530584133454</v>
      </c>
      <c r="H48" s="155">
        <v>34044.704302493337</v>
      </c>
    </row>
    <row r="49" spans="1:8" ht="16.5">
      <c r="A49" s="134"/>
      <c r="B49" s="153">
        <v>34</v>
      </c>
      <c r="C49" s="154">
        <v>43040</v>
      </c>
      <c r="D49" s="155">
        <v>34044.704302493337</v>
      </c>
      <c r="E49" s="155">
        <v>516.97687954817866</v>
      </c>
      <c r="F49" s="155">
        <v>290.01218419822305</v>
      </c>
      <c r="G49" s="155">
        <v>226.9646953499556</v>
      </c>
      <c r="H49" s="155">
        <v>33754.692118295112</v>
      </c>
    </row>
    <row r="50" spans="1:8" ht="16.5">
      <c r="A50" s="134"/>
      <c r="B50" s="153">
        <v>35</v>
      </c>
      <c r="C50" s="154">
        <v>43070</v>
      </c>
      <c r="D50" s="155">
        <v>33754.692118295112</v>
      </c>
      <c r="E50" s="155">
        <v>516.97687954817866</v>
      </c>
      <c r="F50" s="155">
        <v>291.94559875954457</v>
      </c>
      <c r="G50" s="155">
        <v>225.03128078863409</v>
      </c>
      <c r="H50" s="155">
        <v>33462.746519535576</v>
      </c>
    </row>
    <row r="51" spans="1:8" ht="16.5">
      <c r="A51" s="134"/>
      <c r="B51" s="153">
        <v>36</v>
      </c>
      <c r="C51" s="154">
        <v>43101</v>
      </c>
      <c r="D51" s="155">
        <v>33462.746519535576</v>
      </c>
      <c r="E51" s="155">
        <v>516.97687954817866</v>
      </c>
      <c r="F51" s="155">
        <v>293.89190275127481</v>
      </c>
      <c r="G51" s="155">
        <v>223.08497679690385</v>
      </c>
      <c r="H51" s="155">
        <v>33168.854616784301</v>
      </c>
    </row>
    <row r="52" spans="1:8" ht="16.5">
      <c r="A52" s="134"/>
      <c r="B52" s="153">
        <v>37</v>
      </c>
      <c r="C52" s="154">
        <v>43132</v>
      </c>
      <c r="D52" s="155">
        <v>33168.854616784301</v>
      </c>
      <c r="E52" s="155">
        <v>516.97687954817866</v>
      </c>
      <c r="F52" s="155">
        <v>295.85118210294996</v>
      </c>
      <c r="G52" s="155">
        <v>221.1256974452287</v>
      </c>
      <c r="H52" s="155">
        <v>32873.003434681348</v>
      </c>
    </row>
    <row r="53" spans="1:8" ht="16.5">
      <c r="A53" s="134"/>
      <c r="B53" s="153">
        <v>38</v>
      </c>
      <c r="C53" s="154">
        <v>43160</v>
      </c>
      <c r="D53" s="155">
        <v>32873.003434681348</v>
      </c>
      <c r="E53" s="155">
        <v>516.97687954817866</v>
      </c>
      <c r="F53" s="155">
        <v>297.82352331696967</v>
      </c>
      <c r="G53" s="155">
        <v>219.15335623120899</v>
      </c>
      <c r="H53" s="155">
        <v>32575.179911364379</v>
      </c>
    </row>
    <row r="54" spans="1:8" ht="16.5">
      <c r="A54" s="134"/>
      <c r="B54" s="153">
        <v>39</v>
      </c>
      <c r="C54" s="154">
        <v>43191</v>
      </c>
      <c r="D54" s="155">
        <v>32575.179911364379</v>
      </c>
      <c r="E54" s="155">
        <v>516.97687954817866</v>
      </c>
      <c r="F54" s="155">
        <v>299.80901347241615</v>
      </c>
      <c r="G54" s="155">
        <v>217.16786607576253</v>
      </c>
      <c r="H54" s="155">
        <v>32275.370897891975</v>
      </c>
    </row>
    <row r="55" spans="1:8" ht="16.5">
      <c r="A55" s="134"/>
      <c r="B55" s="153">
        <v>40</v>
      </c>
      <c r="C55" s="154">
        <v>43221</v>
      </c>
      <c r="D55" s="155">
        <v>32275.370897891975</v>
      </c>
      <c r="E55" s="155">
        <v>516.97687954817866</v>
      </c>
      <c r="F55" s="155">
        <v>301.80774022889881</v>
      </c>
      <c r="G55" s="155">
        <v>215.16913931927985</v>
      </c>
      <c r="H55" s="155">
        <v>31973.563157663073</v>
      </c>
    </row>
    <row r="56" spans="1:8" ht="16.5">
      <c r="A56" s="134"/>
      <c r="B56" s="153">
        <v>41</v>
      </c>
      <c r="C56" s="154">
        <v>43252</v>
      </c>
      <c r="D56" s="155">
        <v>31973.563157663073</v>
      </c>
      <c r="E56" s="155">
        <v>516.97687954817866</v>
      </c>
      <c r="F56" s="155">
        <v>303.81979183042483</v>
      </c>
      <c r="G56" s="155">
        <v>213.15708771775383</v>
      </c>
      <c r="H56" s="155">
        <v>31669.743365832655</v>
      </c>
    </row>
    <row r="57" spans="1:8" ht="16.5">
      <c r="A57" s="134"/>
      <c r="B57" s="153">
        <v>42</v>
      </c>
      <c r="C57" s="154">
        <v>43282</v>
      </c>
      <c r="D57" s="155">
        <v>31669.743365832655</v>
      </c>
      <c r="E57" s="155">
        <v>516.97687954817866</v>
      </c>
      <c r="F57" s="155">
        <v>305.84525710929427</v>
      </c>
      <c r="G57" s="155">
        <v>211.13162243888439</v>
      </c>
      <c r="H57" s="155">
        <v>31363.898108723359</v>
      </c>
    </row>
    <row r="58" spans="1:8" ht="16.5">
      <c r="A58" s="134"/>
      <c r="B58" s="153">
        <v>43</v>
      </c>
      <c r="C58" s="154">
        <v>43313</v>
      </c>
      <c r="D58" s="155">
        <v>31363.898108723359</v>
      </c>
      <c r="E58" s="155">
        <v>516.97687954817866</v>
      </c>
      <c r="F58" s="155">
        <v>307.88422549002291</v>
      </c>
      <c r="G58" s="155">
        <v>209.09265405815574</v>
      </c>
      <c r="H58" s="155">
        <v>31056.013883233336</v>
      </c>
    </row>
    <row r="59" spans="1:8" ht="16.5">
      <c r="A59" s="134"/>
      <c r="B59" s="153">
        <v>44</v>
      </c>
      <c r="C59" s="154">
        <v>43344</v>
      </c>
      <c r="D59" s="155">
        <v>31056.013883233336</v>
      </c>
      <c r="E59" s="155">
        <v>516.97687954817866</v>
      </c>
      <c r="F59" s="155">
        <v>309.93678699328973</v>
      </c>
      <c r="G59" s="155">
        <v>207.04009255488893</v>
      </c>
      <c r="H59" s="155">
        <v>30746.077096240053</v>
      </c>
    </row>
    <row r="60" spans="1:8" ht="16.5">
      <c r="A60" s="134"/>
      <c r="B60" s="153">
        <v>45</v>
      </c>
      <c r="C60" s="154">
        <v>43374</v>
      </c>
      <c r="D60" s="155">
        <v>30746.077096240053</v>
      </c>
      <c r="E60" s="155">
        <v>516.97687954817866</v>
      </c>
      <c r="F60" s="155">
        <v>312.00303223991159</v>
      </c>
      <c r="G60" s="155">
        <v>204.97384730826704</v>
      </c>
      <c r="H60" s="155">
        <v>30434.074064000142</v>
      </c>
    </row>
    <row r="61" spans="1:8" ht="16.5">
      <c r="A61" s="134"/>
      <c r="B61" s="153">
        <v>46</v>
      </c>
      <c r="C61" s="154">
        <v>43405</v>
      </c>
      <c r="D61" s="155">
        <v>30434.074064000142</v>
      </c>
      <c r="E61" s="155">
        <v>516.97687954817866</v>
      </c>
      <c r="F61" s="155">
        <v>314.08305245484439</v>
      </c>
      <c r="G61" s="155">
        <v>202.89382709333429</v>
      </c>
      <c r="H61" s="155">
        <v>30119.991011545306</v>
      </c>
    </row>
    <row r="62" spans="1:8" ht="16.5">
      <c r="A62" s="134"/>
      <c r="B62" s="153">
        <v>47</v>
      </c>
      <c r="C62" s="154">
        <v>43435</v>
      </c>
      <c r="D62" s="155">
        <v>30119.991011545306</v>
      </c>
      <c r="E62" s="155">
        <v>516.97687954817866</v>
      </c>
      <c r="F62" s="155">
        <v>316.17693947120995</v>
      </c>
      <c r="G62" s="155">
        <v>200.79994007696871</v>
      </c>
      <c r="H62" s="155">
        <v>29803.814072074099</v>
      </c>
    </row>
    <row r="63" spans="1:8" ht="16.5">
      <c r="A63" s="134"/>
      <c r="B63" s="153">
        <v>48</v>
      </c>
      <c r="C63" s="154">
        <v>43466</v>
      </c>
      <c r="D63" s="155">
        <v>29803.814072074099</v>
      </c>
      <c r="E63" s="155">
        <v>516.97687954817866</v>
      </c>
      <c r="F63" s="155">
        <v>318.28478573435132</v>
      </c>
      <c r="G63" s="155">
        <v>198.69209381382734</v>
      </c>
      <c r="H63" s="155">
        <v>29485.529286339744</v>
      </c>
    </row>
    <row r="64" spans="1:8" ht="16.5">
      <c r="A64" s="134"/>
      <c r="B64" s="153">
        <v>49</v>
      </c>
      <c r="C64" s="154">
        <v>43497</v>
      </c>
      <c r="D64" s="155">
        <v>29485.529286339744</v>
      </c>
      <c r="E64" s="155">
        <v>516.97687954817866</v>
      </c>
      <c r="F64" s="155">
        <v>320.4066843059137</v>
      </c>
      <c r="G64" s="155">
        <v>196.57019524226499</v>
      </c>
      <c r="H64" s="155">
        <v>29165.122602033833</v>
      </c>
    </row>
    <row r="65" spans="1:8" ht="16.5">
      <c r="A65" s="134"/>
      <c r="B65" s="153">
        <v>50</v>
      </c>
      <c r="C65" s="154">
        <v>43525</v>
      </c>
      <c r="D65" s="155">
        <v>29165.122602033833</v>
      </c>
      <c r="E65" s="155">
        <v>516.97687954817866</v>
      </c>
      <c r="F65" s="155">
        <v>322.54272886795309</v>
      </c>
      <c r="G65" s="155">
        <v>194.43415068022557</v>
      </c>
      <c r="H65" s="155">
        <v>28842.579873165883</v>
      </c>
    </row>
    <row r="66" spans="1:8" ht="16.5">
      <c r="A66" s="134"/>
      <c r="B66" s="153">
        <v>51</v>
      </c>
      <c r="C66" s="154">
        <v>43556</v>
      </c>
      <c r="D66" s="155">
        <v>28842.579873165883</v>
      </c>
      <c r="E66" s="155">
        <v>516.97687954817866</v>
      </c>
      <c r="F66" s="155">
        <v>324.69301372707275</v>
      </c>
      <c r="G66" s="155">
        <v>192.28386582110591</v>
      </c>
      <c r="H66" s="155">
        <v>28517.886859438811</v>
      </c>
    </row>
    <row r="67" spans="1:8" ht="16.5">
      <c r="A67" s="134"/>
      <c r="B67" s="153">
        <v>52</v>
      </c>
      <c r="C67" s="154">
        <v>43586</v>
      </c>
      <c r="D67" s="155">
        <v>28517.886859438811</v>
      </c>
      <c r="E67" s="155">
        <v>516.97687954817866</v>
      </c>
      <c r="F67" s="155">
        <v>326.85763381858658</v>
      </c>
      <c r="G67" s="155">
        <v>190.11924572959208</v>
      </c>
      <c r="H67" s="155">
        <v>28191.029225620234</v>
      </c>
    </row>
    <row r="68" spans="1:8" ht="16.5">
      <c r="A68" s="134"/>
      <c r="B68" s="153">
        <v>53</v>
      </c>
      <c r="C68" s="154">
        <v>43617</v>
      </c>
      <c r="D68" s="155">
        <v>28191.029225620234</v>
      </c>
      <c r="E68" s="155">
        <v>516.97687954817866</v>
      </c>
      <c r="F68" s="155">
        <v>329.03668471071046</v>
      </c>
      <c r="G68" s="155">
        <v>187.94019483746823</v>
      </c>
      <c r="H68" s="155">
        <v>27861.992540909523</v>
      </c>
    </row>
    <row r="69" spans="1:8" ht="16.5">
      <c r="A69" s="134"/>
      <c r="B69" s="153">
        <v>54</v>
      </c>
      <c r="C69" s="154">
        <v>43647</v>
      </c>
      <c r="D69" s="155">
        <v>27861.992540909523</v>
      </c>
      <c r="E69" s="155">
        <v>516.97687954817866</v>
      </c>
      <c r="F69" s="155">
        <v>331.2302626087818</v>
      </c>
      <c r="G69" s="155">
        <v>185.74661693939683</v>
      </c>
      <c r="H69" s="155">
        <v>27530.762278300739</v>
      </c>
    </row>
    <row r="70" spans="1:8" ht="16.5">
      <c r="A70" s="134"/>
      <c r="B70" s="153">
        <v>55</v>
      </c>
      <c r="C70" s="154">
        <v>43678</v>
      </c>
      <c r="D70" s="155">
        <v>27530.762278300739</v>
      </c>
      <c r="E70" s="155">
        <v>516.97687954817866</v>
      </c>
      <c r="F70" s="155">
        <v>333.43846435950707</v>
      </c>
      <c r="G70" s="155">
        <v>183.53841518867159</v>
      </c>
      <c r="H70" s="155">
        <v>27197.323813941242</v>
      </c>
    </row>
    <row r="71" spans="1:8" ht="16.5">
      <c r="A71" s="134"/>
      <c r="B71" s="153">
        <v>56</v>
      </c>
      <c r="C71" s="154">
        <v>43709</v>
      </c>
      <c r="D71" s="155">
        <v>27197.323813941242</v>
      </c>
      <c r="E71" s="155">
        <v>516.97687954817866</v>
      </c>
      <c r="F71" s="155">
        <v>335.66138745523699</v>
      </c>
      <c r="G71" s="155">
        <v>181.31549209294164</v>
      </c>
      <c r="H71" s="155">
        <v>26861.662426485993</v>
      </c>
    </row>
    <row r="72" spans="1:8" ht="16.5">
      <c r="A72" s="134"/>
      <c r="B72" s="153">
        <v>57</v>
      </c>
      <c r="C72" s="154">
        <v>43739</v>
      </c>
      <c r="D72" s="155">
        <v>26861.662426485993</v>
      </c>
      <c r="E72" s="155">
        <v>516.97687954817866</v>
      </c>
      <c r="F72" s="155">
        <v>337.89913003827201</v>
      </c>
      <c r="G72" s="155">
        <v>179.07774950990662</v>
      </c>
      <c r="H72" s="155">
        <v>26523.763296447738</v>
      </c>
    </row>
    <row r="73" spans="1:8" ht="16.5">
      <c r="A73" s="134"/>
      <c r="B73" s="153">
        <v>58</v>
      </c>
      <c r="C73" s="154">
        <v>43770</v>
      </c>
      <c r="D73" s="155">
        <v>26523.763296447738</v>
      </c>
      <c r="E73" s="155">
        <v>516.97687954817866</v>
      </c>
      <c r="F73" s="155">
        <v>340.15179090519371</v>
      </c>
      <c r="G73" s="155">
        <v>176.82508864298492</v>
      </c>
      <c r="H73" s="155">
        <v>26183.61150554254</v>
      </c>
    </row>
    <row r="74" spans="1:8" ht="16.5">
      <c r="A74" s="134"/>
      <c r="B74" s="153">
        <v>59</v>
      </c>
      <c r="C74" s="154">
        <v>43800</v>
      </c>
      <c r="D74" s="155">
        <v>26183.61150554254</v>
      </c>
      <c r="E74" s="155">
        <v>516.97687954817866</v>
      </c>
      <c r="F74" s="155">
        <v>342.41946951122839</v>
      </c>
      <c r="G74" s="155">
        <v>174.55741003695027</v>
      </c>
      <c r="H74" s="155">
        <v>25841.192036031316</v>
      </c>
    </row>
    <row r="75" spans="1:8" ht="16.5">
      <c r="A75" s="134"/>
      <c r="B75" s="153">
        <v>60</v>
      </c>
      <c r="C75" s="154">
        <v>43831</v>
      </c>
      <c r="D75" s="155">
        <v>25841.192036031316</v>
      </c>
      <c r="E75" s="155">
        <v>516.97687954817866</v>
      </c>
      <c r="F75" s="155">
        <v>344.70226597463653</v>
      </c>
      <c r="G75" s="155">
        <v>172.27461357354213</v>
      </c>
      <c r="H75" s="155">
        <v>25496.489770056687</v>
      </c>
    </row>
    <row r="76" spans="1:8" ht="16.5">
      <c r="A76" s="134"/>
      <c r="B76" s="156">
        <v>61</v>
      </c>
      <c r="C76" s="154">
        <v>43862</v>
      </c>
      <c r="D76" s="155">
        <v>25496.489770056687</v>
      </c>
      <c r="E76" s="155">
        <v>516.97687954817866</v>
      </c>
      <c r="F76" s="155">
        <v>347.00028108113406</v>
      </c>
      <c r="G76" s="155">
        <v>169.9765984670446</v>
      </c>
      <c r="H76" s="157">
        <v>25149.489488975552</v>
      </c>
    </row>
    <row r="77" spans="1:8" ht="16.5">
      <c r="A77" s="134"/>
      <c r="B77" s="156">
        <v>62</v>
      </c>
      <c r="C77" s="154">
        <v>43891</v>
      </c>
      <c r="D77" s="155">
        <v>25149.489488975552</v>
      </c>
      <c r="E77" s="155">
        <v>516.97687954817866</v>
      </c>
      <c r="F77" s="155">
        <v>349.31361628834162</v>
      </c>
      <c r="G77" s="155">
        <v>167.66326325983704</v>
      </c>
      <c r="H77" s="157">
        <v>24800.175872687214</v>
      </c>
    </row>
    <row r="78" spans="1:8" ht="16.5">
      <c r="A78" s="134"/>
      <c r="B78" s="156">
        <v>63</v>
      </c>
      <c r="C78" s="154">
        <v>43922</v>
      </c>
      <c r="D78" s="155">
        <v>24800.175872687214</v>
      </c>
      <c r="E78" s="155">
        <v>516.97687954817866</v>
      </c>
      <c r="F78" s="155">
        <v>351.6423737302639</v>
      </c>
      <c r="G78" s="155">
        <v>165.33450581791476</v>
      </c>
      <c r="H78" s="157">
        <v>24448.53349895696</v>
      </c>
    </row>
    <row r="79" spans="1:8" ht="16.5">
      <c r="A79" s="134"/>
      <c r="B79" s="156">
        <v>64</v>
      </c>
      <c r="C79" s="154">
        <v>43952</v>
      </c>
      <c r="D79" s="155">
        <v>24448.53349895696</v>
      </c>
      <c r="E79" s="155">
        <v>516.97687954817866</v>
      </c>
      <c r="F79" s="155">
        <v>353.98665622179891</v>
      </c>
      <c r="G79" s="155">
        <v>162.99022332637975</v>
      </c>
      <c r="H79" s="157">
        <v>24094.546842735159</v>
      </c>
    </row>
    <row r="80" spans="1:8" ht="16.5">
      <c r="A80" s="134"/>
      <c r="B80" s="156">
        <v>65</v>
      </c>
      <c r="C80" s="154">
        <v>43983</v>
      </c>
      <c r="D80" s="155">
        <v>24094.546842735159</v>
      </c>
      <c r="E80" s="155">
        <v>516.97687954817866</v>
      </c>
      <c r="F80" s="155">
        <v>356.34656726327762</v>
      </c>
      <c r="G80" s="155">
        <v>160.63031228490107</v>
      </c>
      <c r="H80" s="157">
        <v>23738.200275471892</v>
      </c>
    </row>
    <row r="81" spans="1:8" ht="16.5">
      <c r="A81" s="134"/>
      <c r="B81" s="156">
        <v>66</v>
      </c>
      <c r="C81" s="154">
        <v>44013</v>
      </c>
      <c r="D81" s="155">
        <v>23738.200275471892</v>
      </c>
      <c r="E81" s="155">
        <v>516.97687954817866</v>
      </c>
      <c r="F81" s="155">
        <v>358.72221104503274</v>
      </c>
      <c r="G81" s="155">
        <v>158.25466850314595</v>
      </c>
      <c r="H81" s="157">
        <v>23379.478064426861</v>
      </c>
    </row>
    <row r="82" spans="1:8" ht="16.5">
      <c r="A82" s="134"/>
      <c r="B82" s="156">
        <v>67</v>
      </c>
      <c r="C82" s="154">
        <v>44044</v>
      </c>
      <c r="D82" s="155">
        <v>23379.478064426861</v>
      </c>
      <c r="E82" s="155">
        <v>516.97687954817866</v>
      </c>
      <c r="F82" s="155">
        <v>361.11369245199955</v>
      </c>
      <c r="G82" s="155">
        <v>155.86318709617908</v>
      </c>
      <c r="H82" s="157">
        <v>23018.364371974858</v>
      </c>
    </row>
    <row r="83" spans="1:8" ht="16.5">
      <c r="A83" s="134"/>
      <c r="B83" s="156">
        <v>68</v>
      </c>
      <c r="C83" s="154">
        <v>44075</v>
      </c>
      <c r="D83" s="155">
        <v>23018.364371974858</v>
      </c>
      <c r="E83" s="155">
        <v>516.97687954817866</v>
      </c>
      <c r="F83" s="155">
        <v>363.52111706834626</v>
      </c>
      <c r="G83" s="155">
        <v>153.4557624798324</v>
      </c>
      <c r="H83" s="157">
        <v>22654.843254906511</v>
      </c>
    </row>
    <row r="84" spans="1:8" ht="16.5">
      <c r="A84" s="134"/>
      <c r="B84" s="156">
        <v>69</v>
      </c>
      <c r="C84" s="154">
        <v>44105</v>
      </c>
      <c r="D84" s="155">
        <v>22654.843254906511</v>
      </c>
      <c r="E84" s="155">
        <v>516.97687954817866</v>
      </c>
      <c r="F84" s="155">
        <v>365.94459118213524</v>
      </c>
      <c r="G84" s="155">
        <v>151.03228836604342</v>
      </c>
      <c r="H84" s="157">
        <v>22288.898663724394</v>
      </c>
    </row>
    <row r="85" spans="1:8" ht="16.5">
      <c r="A85" s="134"/>
      <c r="B85" s="156">
        <v>70</v>
      </c>
      <c r="C85" s="154">
        <v>44136</v>
      </c>
      <c r="D85" s="155">
        <v>22288.898663724394</v>
      </c>
      <c r="E85" s="155">
        <v>516.97687954817866</v>
      </c>
      <c r="F85" s="155">
        <v>368.384221790016</v>
      </c>
      <c r="G85" s="155">
        <v>148.59265775816263</v>
      </c>
      <c r="H85" s="157">
        <v>21920.514441934363</v>
      </c>
    </row>
    <row r="86" spans="1:8" ht="16.5">
      <c r="A86" s="134"/>
      <c r="B86" s="156">
        <v>71</v>
      </c>
      <c r="C86" s="154">
        <v>44166</v>
      </c>
      <c r="D86" s="155">
        <v>21920.514441934363</v>
      </c>
      <c r="E86" s="155">
        <v>516.97687954817866</v>
      </c>
      <c r="F86" s="155">
        <v>370.84011660194955</v>
      </c>
      <c r="G86" s="155">
        <v>146.13676294622911</v>
      </c>
      <c r="H86" s="157">
        <v>21549.674325332417</v>
      </c>
    </row>
    <row r="87" spans="1:8" ht="16.5">
      <c r="A87" s="134"/>
      <c r="B87" s="156">
        <v>72</v>
      </c>
      <c r="C87" s="154">
        <v>44197</v>
      </c>
      <c r="D87" s="155">
        <v>21549.674325332417</v>
      </c>
      <c r="E87" s="155">
        <v>516.97687954817866</v>
      </c>
      <c r="F87" s="155">
        <v>373.31238404596252</v>
      </c>
      <c r="G87" s="155">
        <v>143.66449550221611</v>
      </c>
      <c r="H87" s="157">
        <v>21176.361941286472</v>
      </c>
    </row>
    <row r="88" spans="1:8" ht="16.5">
      <c r="A88" s="134"/>
      <c r="B88" s="156">
        <v>73</v>
      </c>
      <c r="C88" s="154">
        <v>44228</v>
      </c>
      <c r="D88" s="155">
        <v>21176.361941286472</v>
      </c>
      <c r="E88" s="155">
        <v>516.97687954817866</v>
      </c>
      <c r="F88" s="155">
        <v>375.80113327293554</v>
      </c>
      <c r="G88" s="155">
        <v>141.17574627524314</v>
      </c>
      <c r="H88" s="157">
        <v>20800.560808013543</v>
      </c>
    </row>
    <row r="89" spans="1:8" ht="16.5">
      <c r="A89" s="134"/>
      <c r="B89" s="156">
        <v>74</v>
      </c>
      <c r="C89" s="154">
        <v>44256</v>
      </c>
      <c r="D89" s="155">
        <v>20800.560808013543</v>
      </c>
      <c r="E89" s="155">
        <v>516.97687954817866</v>
      </c>
      <c r="F89" s="155">
        <v>378.3064741614217</v>
      </c>
      <c r="G89" s="155">
        <v>138.67040538675695</v>
      </c>
      <c r="H89" s="157">
        <v>20422.254333852121</v>
      </c>
    </row>
    <row r="90" spans="1:8" ht="16.5">
      <c r="A90" s="134"/>
      <c r="B90" s="156">
        <v>75</v>
      </c>
      <c r="C90" s="154">
        <v>44287</v>
      </c>
      <c r="D90" s="155">
        <v>20422.254333852121</v>
      </c>
      <c r="E90" s="155">
        <v>516.97687954817866</v>
      </c>
      <c r="F90" s="155">
        <v>380.82851732249787</v>
      </c>
      <c r="G90" s="155">
        <v>136.14836222568081</v>
      </c>
      <c r="H90" s="157">
        <v>20041.42581652962</v>
      </c>
    </row>
    <row r="91" spans="1:8" ht="16.5">
      <c r="A91" s="134"/>
      <c r="B91" s="156">
        <v>76</v>
      </c>
      <c r="C91" s="154">
        <v>44317</v>
      </c>
      <c r="D91" s="155">
        <v>20041.42581652962</v>
      </c>
      <c r="E91" s="155">
        <v>516.97687954817866</v>
      </c>
      <c r="F91" s="155">
        <v>383.36737410464787</v>
      </c>
      <c r="G91" s="155">
        <v>133.60950544353079</v>
      </c>
      <c r="H91" s="157">
        <v>19658.058442424968</v>
      </c>
    </row>
    <row r="92" spans="1:8" ht="16.5">
      <c r="A92" s="134"/>
      <c r="B92" s="156">
        <v>77</v>
      </c>
      <c r="C92" s="154">
        <v>44348</v>
      </c>
      <c r="D92" s="155">
        <v>19658.058442424968</v>
      </c>
      <c r="E92" s="155">
        <v>516.97687954817866</v>
      </c>
      <c r="F92" s="155">
        <v>385.92315659867887</v>
      </c>
      <c r="G92" s="155">
        <v>131.05372294949979</v>
      </c>
      <c r="H92" s="157">
        <v>19272.135285826305</v>
      </c>
    </row>
    <row r="93" spans="1:8" ht="16.5">
      <c r="A93" s="134"/>
      <c r="B93" s="156">
        <v>78</v>
      </c>
      <c r="C93" s="154">
        <v>44378</v>
      </c>
      <c r="D93" s="155">
        <v>19272.135285826305</v>
      </c>
      <c r="E93" s="155">
        <v>516.97687954817866</v>
      </c>
      <c r="F93" s="155">
        <v>388.49597764266991</v>
      </c>
      <c r="G93" s="155">
        <v>128.48090190550872</v>
      </c>
      <c r="H93" s="157">
        <v>18883.639308183636</v>
      </c>
    </row>
    <row r="94" spans="1:8" ht="16.5">
      <c r="A94" s="134"/>
      <c r="B94" s="156">
        <v>79</v>
      </c>
      <c r="C94" s="154">
        <v>44409</v>
      </c>
      <c r="D94" s="155">
        <v>18883.639308183636</v>
      </c>
      <c r="E94" s="155">
        <v>516.97687954817866</v>
      </c>
      <c r="F94" s="155">
        <v>391.08595082695444</v>
      </c>
      <c r="G94" s="155">
        <v>125.89092872122424</v>
      </c>
      <c r="H94" s="157">
        <v>18492.553357356679</v>
      </c>
    </row>
    <row r="95" spans="1:8" ht="16.5">
      <c r="A95" s="134"/>
      <c r="B95" s="156">
        <v>80</v>
      </c>
      <c r="C95" s="154">
        <v>44440</v>
      </c>
      <c r="D95" s="155">
        <v>18492.553357356679</v>
      </c>
      <c r="E95" s="155">
        <v>516.97687954817866</v>
      </c>
      <c r="F95" s="155">
        <v>393.69319049913412</v>
      </c>
      <c r="G95" s="155">
        <v>123.28368904904454</v>
      </c>
      <c r="H95" s="157">
        <v>18098.860166857543</v>
      </c>
    </row>
    <row r="96" spans="1:8" ht="16.5">
      <c r="A96" s="134"/>
      <c r="B96" s="156">
        <v>81</v>
      </c>
      <c r="C96" s="154">
        <v>44470</v>
      </c>
      <c r="D96" s="155">
        <v>18098.860166857543</v>
      </c>
      <c r="E96" s="155">
        <v>516.97687954817866</v>
      </c>
      <c r="F96" s="155">
        <v>396.31781176912835</v>
      </c>
      <c r="G96" s="155">
        <v>120.65906777905029</v>
      </c>
      <c r="H96" s="157">
        <v>17702.542355088415</v>
      </c>
    </row>
    <row r="97" spans="1:8" ht="16.5">
      <c r="A97" s="134"/>
      <c r="B97" s="156">
        <v>82</v>
      </c>
      <c r="C97" s="154">
        <v>44501</v>
      </c>
      <c r="D97" s="155">
        <v>17702.542355088415</v>
      </c>
      <c r="E97" s="155">
        <v>516.97687954817866</v>
      </c>
      <c r="F97" s="155">
        <v>398.95993051425592</v>
      </c>
      <c r="G97" s="155">
        <v>118.01694903392277</v>
      </c>
      <c r="H97" s="157">
        <v>17303.582424574175</v>
      </c>
    </row>
    <row r="98" spans="1:8" ht="16.5">
      <c r="A98" s="134"/>
      <c r="B98" s="156">
        <v>83</v>
      </c>
      <c r="C98" s="154">
        <v>44531</v>
      </c>
      <c r="D98" s="155">
        <v>17303.582424574175</v>
      </c>
      <c r="E98" s="155">
        <v>516.97687954817866</v>
      </c>
      <c r="F98" s="155">
        <v>401.61966338435082</v>
      </c>
      <c r="G98" s="155">
        <v>115.35721616382784</v>
      </c>
      <c r="H98" s="157">
        <v>16901.962761189832</v>
      </c>
    </row>
    <row r="99" spans="1:8" ht="16.5">
      <c r="A99" s="134"/>
      <c r="B99" s="156">
        <v>84</v>
      </c>
      <c r="C99" s="154">
        <v>44562</v>
      </c>
      <c r="D99" s="155">
        <v>16901.962761189832</v>
      </c>
      <c r="E99" s="155">
        <v>516.97687954817866</v>
      </c>
      <c r="F99" s="155">
        <v>404.29712780691307</v>
      </c>
      <c r="G99" s="155">
        <v>112.67975174126556</v>
      </c>
      <c r="H99" s="157">
        <v>16497.665633382916</v>
      </c>
    </row>
    <row r="100" spans="1:8" ht="16.5">
      <c r="A100" s="134"/>
      <c r="B100" s="156">
        <v>85</v>
      </c>
      <c r="C100" s="154">
        <v>44593</v>
      </c>
      <c r="D100" s="155">
        <v>16497.665633382916</v>
      </c>
      <c r="E100" s="155">
        <v>516.97687954817866</v>
      </c>
      <c r="F100" s="155">
        <v>406.99244199229253</v>
      </c>
      <c r="G100" s="155">
        <v>109.98443755588612</v>
      </c>
      <c r="H100" s="157">
        <v>16090.673191390626</v>
      </c>
    </row>
    <row r="101" spans="1:8" ht="16.5">
      <c r="A101" s="134"/>
      <c r="B101" s="156">
        <v>86</v>
      </c>
      <c r="C101" s="154">
        <v>44621</v>
      </c>
      <c r="D101" s="155">
        <v>16090.673191390626</v>
      </c>
      <c r="E101" s="155">
        <v>516.97687954817866</v>
      </c>
      <c r="F101" s="155">
        <v>409.70572493890779</v>
      </c>
      <c r="G101" s="155">
        <v>107.27115460927085</v>
      </c>
      <c r="H101" s="157">
        <v>15680.967466451715</v>
      </c>
    </row>
    <row r="102" spans="1:8" ht="16.5">
      <c r="A102" s="134"/>
      <c r="B102" s="156">
        <v>87</v>
      </c>
      <c r="C102" s="154">
        <v>44652</v>
      </c>
      <c r="D102" s="155">
        <v>15680.967466451715</v>
      </c>
      <c r="E102" s="155">
        <v>516.97687954817866</v>
      </c>
      <c r="F102" s="155">
        <v>412.43709643850053</v>
      </c>
      <c r="G102" s="155">
        <v>104.53978310967811</v>
      </c>
      <c r="H102" s="157">
        <v>15268.530370013228</v>
      </c>
    </row>
    <row r="103" spans="1:8" ht="16.5">
      <c r="A103" s="134"/>
      <c r="B103" s="156">
        <v>88</v>
      </c>
      <c r="C103" s="154">
        <v>44682</v>
      </c>
      <c r="D103" s="155">
        <v>15268.530370013228</v>
      </c>
      <c r="E103" s="155">
        <v>516.97687954817866</v>
      </c>
      <c r="F103" s="155">
        <v>415.1866770814238</v>
      </c>
      <c r="G103" s="155">
        <v>101.79020246675486</v>
      </c>
      <c r="H103" s="157">
        <v>14853.343692931798</v>
      </c>
    </row>
    <row r="104" spans="1:8" ht="16.5">
      <c r="A104" s="134"/>
      <c r="B104" s="156">
        <v>89</v>
      </c>
      <c r="C104" s="154">
        <v>44713</v>
      </c>
      <c r="D104" s="155">
        <v>14853.343692931798</v>
      </c>
      <c r="E104" s="155">
        <v>516.97687954817866</v>
      </c>
      <c r="F104" s="155">
        <v>417.95458826196665</v>
      </c>
      <c r="G104" s="155">
        <v>99.022291286211995</v>
      </c>
      <c r="H104" s="157">
        <v>14435.389104669848</v>
      </c>
    </row>
    <row r="105" spans="1:8" ht="16.5">
      <c r="A105" s="134"/>
      <c r="B105" s="156">
        <v>90</v>
      </c>
      <c r="C105" s="154">
        <v>44743</v>
      </c>
      <c r="D105" s="155">
        <v>14435.389104669848</v>
      </c>
      <c r="E105" s="155">
        <v>516.97687954817866</v>
      </c>
      <c r="F105" s="155">
        <v>420.74095218371298</v>
      </c>
      <c r="G105" s="155">
        <v>96.235927364465667</v>
      </c>
      <c r="H105" s="157">
        <v>14014.648152486123</v>
      </c>
    </row>
    <row r="106" spans="1:8" ht="16.5">
      <c r="A106" s="134"/>
      <c r="B106" s="156">
        <v>91</v>
      </c>
      <c r="C106" s="154">
        <v>44774</v>
      </c>
      <c r="D106" s="155">
        <v>14014.648152486123</v>
      </c>
      <c r="E106" s="155">
        <v>516.97687954817866</v>
      </c>
      <c r="F106" s="155">
        <v>423.54589186493786</v>
      </c>
      <c r="G106" s="155">
        <v>93.430987683240829</v>
      </c>
      <c r="H106" s="157">
        <v>13591.102260621199</v>
      </c>
    </row>
    <row r="107" spans="1:8" ht="16.5">
      <c r="A107" s="134"/>
      <c r="B107" s="156">
        <v>92</v>
      </c>
      <c r="C107" s="154">
        <v>44805</v>
      </c>
      <c r="D107" s="155">
        <v>13591.102260621199</v>
      </c>
      <c r="E107" s="155">
        <v>516.97687954817866</v>
      </c>
      <c r="F107" s="155">
        <v>426.3695311440373</v>
      </c>
      <c r="G107" s="155">
        <v>90.607348404141334</v>
      </c>
      <c r="H107" s="157">
        <v>13164.73272947716</v>
      </c>
    </row>
    <row r="108" spans="1:8" ht="16.5">
      <c r="A108" s="134"/>
      <c r="B108" s="156">
        <v>93</v>
      </c>
      <c r="C108" s="154">
        <v>44835</v>
      </c>
      <c r="D108" s="155">
        <v>13164.73272947716</v>
      </c>
      <c r="E108" s="155">
        <v>516.97687954817866</v>
      </c>
      <c r="F108" s="155">
        <v>429.21199468499759</v>
      </c>
      <c r="G108" s="155">
        <v>87.764884863181081</v>
      </c>
      <c r="H108" s="157">
        <v>12735.520734792182</v>
      </c>
    </row>
    <row r="109" spans="1:8" ht="16.5">
      <c r="A109" s="134"/>
      <c r="B109" s="156">
        <v>94</v>
      </c>
      <c r="C109" s="154">
        <v>44866</v>
      </c>
      <c r="D109" s="155">
        <v>12735.520734792182</v>
      </c>
      <c r="E109" s="155">
        <v>516.97687954817866</v>
      </c>
      <c r="F109" s="155">
        <v>432.07340798289744</v>
      </c>
      <c r="G109" s="155">
        <v>84.903471565281222</v>
      </c>
      <c r="H109" s="157">
        <v>12303.44732680927</v>
      </c>
    </row>
    <row r="110" spans="1:8" ht="16.5">
      <c r="A110" s="134"/>
      <c r="B110" s="156">
        <v>95</v>
      </c>
      <c r="C110" s="154">
        <v>44896</v>
      </c>
      <c r="D110" s="155">
        <v>12303.44732680927</v>
      </c>
      <c r="E110" s="155">
        <v>516.97687954817866</v>
      </c>
      <c r="F110" s="155">
        <v>434.9538973694502</v>
      </c>
      <c r="G110" s="155">
        <v>82.022982178728469</v>
      </c>
      <c r="H110" s="157">
        <v>11868.493429439841</v>
      </c>
    </row>
    <row r="111" spans="1:8" ht="16.5">
      <c r="A111" s="134"/>
      <c r="B111" s="156">
        <v>96</v>
      </c>
      <c r="C111" s="154">
        <v>44927</v>
      </c>
      <c r="D111" s="155">
        <v>11868.493429439841</v>
      </c>
      <c r="E111" s="155">
        <v>516.97687954817866</v>
      </c>
      <c r="F111" s="155">
        <v>437.85359001857972</v>
      </c>
      <c r="G111" s="155">
        <v>79.123289529598949</v>
      </c>
      <c r="H111" s="157">
        <v>11430.639839421245</v>
      </c>
    </row>
    <row r="112" spans="1:8" ht="16.5">
      <c r="A112" s="134"/>
      <c r="B112" s="156">
        <v>97</v>
      </c>
      <c r="C112" s="154">
        <v>44958</v>
      </c>
      <c r="D112" s="155">
        <v>11430.639839421245</v>
      </c>
      <c r="E112" s="155">
        <v>516.97687954817866</v>
      </c>
      <c r="F112" s="155">
        <v>440.77261395203703</v>
      </c>
      <c r="G112" s="155">
        <v>76.204265596141639</v>
      </c>
      <c r="H112" s="157">
        <v>10989.867225469221</v>
      </c>
    </row>
    <row r="113" spans="1:8" ht="16.5">
      <c r="A113" s="134"/>
      <c r="B113" s="156">
        <v>98</v>
      </c>
      <c r="C113" s="154">
        <v>44986</v>
      </c>
      <c r="D113" s="155">
        <v>10989.867225469221</v>
      </c>
      <c r="E113" s="155">
        <v>516.97687954817866</v>
      </c>
      <c r="F113" s="155">
        <v>443.71109804505051</v>
      </c>
      <c r="G113" s="155">
        <v>73.265781503128139</v>
      </c>
      <c r="H113" s="157">
        <v>10546.156127424169</v>
      </c>
    </row>
    <row r="114" spans="1:8" ht="16.5">
      <c r="A114" s="134"/>
      <c r="B114" s="156">
        <v>99</v>
      </c>
      <c r="C114" s="154">
        <v>45017</v>
      </c>
      <c r="D114" s="155">
        <v>10546.156127424169</v>
      </c>
      <c r="E114" s="155">
        <v>516.97687954817866</v>
      </c>
      <c r="F114" s="155">
        <v>446.66917203201751</v>
      </c>
      <c r="G114" s="155">
        <v>70.30770751616113</v>
      </c>
      <c r="H114" s="157">
        <v>10099.486955392145</v>
      </c>
    </row>
    <row r="115" spans="1:8" ht="16.5">
      <c r="A115" s="134"/>
      <c r="B115" s="156">
        <v>100</v>
      </c>
      <c r="C115" s="154">
        <v>45047</v>
      </c>
      <c r="D115" s="155">
        <v>10099.486955392145</v>
      </c>
      <c r="E115" s="155">
        <v>516.97687954817866</v>
      </c>
      <c r="F115" s="155">
        <v>449.64696651223102</v>
      </c>
      <c r="G115" s="155">
        <v>67.329913035947641</v>
      </c>
      <c r="H115" s="157">
        <v>9649.8399888799322</v>
      </c>
    </row>
    <row r="116" spans="1:8" ht="16.5">
      <c r="A116" s="134"/>
      <c r="B116" s="156">
        <v>101</v>
      </c>
      <c r="C116" s="154">
        <v>45078</v>
      </c>
      <c r="D116" s="155">
        <v>9649.8399888799322</v>
      </c>
      <c r="E116" s="155">
        <v>516.97687954817866</v>
      </c>
      <c r="F116" s="155">
        <v>452.64461295564575</v>
      </c>
      <c r="G116" s="155">
        <v>64.332266592532889</v>
      </c>
      <c r="H116" s="157">
        <v>9197.1953759242897</v>
      </c>
    </row>
    <row r="117" spans="1:8" ht="16.5">
      <c r="A117" s="134"/>
      <c r="B117" s="156">
        <v>102</v>
      </c>
      <c r="C117" s="154">
        <v>45108</v>
      </c>
      <c r="D117" s="155">
        <v>9197.1953759242897</v>
      </c>
      <c r="E117" s="155">
        <v>516.97687954817866</v>
      </c>
      <c r="F117" s="155">
        <v>455.66224370868338</v>
      </c>
      <c r="G117" s="155">
        <v>61.314635839495267</v>
      </c>
      <c r="H117" s="157">
        <v>8741.5331322156126</v>
      </c>
    </row>
    <row r="118" spans="1:8" ht="16.5">
      <c r="A118" s="134"/>
      <c r="B118" s="156">
        <v>103</v>
      </c>
      <c r="C118" s="154">
        <v>45139</v>
      </c>
      <c r="D118" s="155">
        <v>8741.5331322156126</v>
      </c>
      <c r="E118" s="155">
        <v>516.97687954817866</v>
      </c>
      <c r="F118" s="155">
        <v>458.69999200007459</v>
      </c>
      <c r="G118" s="155">
        <v>58.276887548104085</v>
      </c>
      <c r="H118" s="157">
        <v>8282.8331402155309</v>
      </c>
    </row>
    <row r="119" spans="1:8" ht="16.5">
      <c r="A119" s="134"/>
      <c r="B119" s="156">
        <v>104</v>
      </c>
      <c r="C119" s="154">
        <v>45170</v>
      </c>
      <c r="D119" s="155">
        <v>8282.8331402155309</v>
      </c>
      <c r="E119" s="155">
        <v>516.97687954817866</v>
      </c>
      <c r="F119" s="155">
        <v>461.75799194674175</v>
      </c>
      <c r="G119" s="155">
        <v>55.218887601436876</v>
      </c>
      <c r="H119" s="157">
        <v>7821.0751482688065</v>
      </c>
    </row>
    <row r="120" spans="1:8" ht="16.5">
      <c r="A120" s="134"/>
      <c r="B120" s="156">
        <v>105</v>
      </c>
      <c r="C120" s="154">
        <v>45200</v>
      </c>
      <c r="D120" s="155">
        <v>7821.0751482688065</v>
      </c>
      <c r="E120" s="155">
        <v>516.97687954817866</v>
      </c>
      <c r="F120" s="155">
        <v>464.83637855971995</v>
      </c>
      <c r="G120" s="155">
        <v>52.140500988458712</v>
      </c>
      <c r="H120" s="157">
        <v>7356.238769709089</v>
      </c>
    </row>
    <row r="121" spans="1:8" ht="16.5">
      <c r="A121" s="134"/>
      <c r="B121" s="156">
        <v>106</v>
      </c>
      <c r="C121" s="154">
        <v>45231</v>
      </c>
      <c r="D121" s="155">
        <v>7356.238769709089</v>
      </c>
      <c r="E121" s="155">
        <v>516.97687954817866</v>
      </c>
      <c r="F121" s="155">
        <v>467.93528775011805</v>
      </c>
      <c r="G121" s="155">
        <v>49.041591798060594</v>
      </c>
      <c r="H121" s="157">
        <v>6888.3034819589811</v>
      </c>
    </row>
    <row r="122" spans="1:8" ht="16.5">
      <c r="A122" s="134"/>
      <c r="B122" s="156">
        <v>107</v>
      </c>
      <c r="C122" s="154">
        <v>45261</v>
      </c>
      <c r="D122" s="155">
        <v>6888.3034819589811</v>
      </c>
      <c r="E122" s="155">
        <v>516.97687954817866</v>
      </c>
      <c r="F122" s="155">
        <v>471.05485633511876</v>
      </c>
      <c r="G122" s="155">
        <v>45.92202321305988</v>
      </c>
      <c r="H122" s="157">
        <v>6417.2486256238481</v>
      </c>
    </row>
    <row r="123" spans="1:8" ht="16.5">
      <c r="A123" s="134"/>
      <c r="B123" s="156">
        <v>108</v>
      </c>
      <c r="C123" s="154">
        <v>45292</v>
      </c>
      <c r="D123" s="155">
        <v>6417.2486256238481</v>
      </c>
      <c r="E123" s="155">
        <v>516.97687954817866</v>
      </c>
      <c r="F123" s="155">
        <v>474.19522204401966</v>
      </c>
      <c r="G123" s="155">
        <v>42.781657504158993</v>
      </c>
      <c r="H123" s="157">
        <v>5943.0534035798482</v>
      </c>
    </row>
    <row r="124" spans="1:8" ht="16.5">
      <c r="A124" s="134"/>
      <c r="B124" s="156">
        <v>109</v>
      </c>
      <c r="C124" s="154">
        <v>45323</v>
      </c>
      <c r="D124" s="155">
        <v>5943.0534035798482</v>
      </c>
      <c r="E124" s="155">
        <v>516.97687954817866</v>
      </c>
      <c r="F124" s="155">
        <v>477.35652352431299</v>
      </c>
      <c r="G124" s="155">
        <v>39.620356023865661</v>
      </c>
      <c r="H124" s="157">
        <v>5465.6968800555187</v>
      </c>
    </row>
    <row r="125" spans="1:8" ht="16.5">
      <c r="A125" s="134"/>
      <c r="B125" s="156">
        <v>110</v>
      </c>
      <c r="C125" s="154">
        <v>45352</v>
      </c>
      <c r="D125" s="155">
        <v>5465.6968800555187</v>
      </c>
      <c r="E125" s="155">
        <v>516.97687954817866</v>
      </c>
      <c r="F125" s="155">
        <v>480.53890034780852</v>
      </c>
      <c r="G125" s="155">
        <v>36.43797920037013</v>
      </c>
      <c r="H125" s="157">
        <v>4985.1579797077284</v>
      </c>
    </row>
    <row r="126" spans="1:8" ht="16.5">
      <c r="A126" s="134"/>
      <c r="B126" s="156">
        <v>111</v>
      </c>
      <c r="C126" s="154">
        <v>45383</v>
      </c>
      <c r="D126" s="155">
        <v>4985.1579797077284</v>
      </c>
      <c r="E126" s="155">
        <v>516.97687954817866</v>
      </c>
      <c r="F126" s="155">
        <v>483.74249301679379</v>
      </c>
      <c r="G126" s="155">
        <v>33.234386531384857</v>
      </c>
      <c r="H126" s="157">
        <v>4501.4154866909521</v>
      </c>
    </row>
    <row r="127" spans="1:8" ht="16.5">
      <c r="A127" s="134"/>
      <c r="B127" s="156">
        <v>112</v>
      </c>
      <c r="C127" s="154">
        <v>45413</v>
      </c>
      <c r="D127" s="155">
        <v>4501.4154866909521</v>
      </c>
      <c r="E127" s="155">
        <v>516.97687954817866</v>
      </c>
      <c r="F127" s="155">
        <v>486.96744297023895</v>
      </c>
      <c r="G127" s="155">
        <v>30.009436577939681</v>
      </c>
      <c r="H127" s="157">
        <v>4014.4480437206948</v>
      </c>
    </row>
    <row r="128" spans="1:8" ht="16.5">
      <c r="A128" s="134"/>
      <c r="B128" s="156">
        <v>113</v>
      </c>
      <c r="C128" s="154">
        <v>45444</v>
      </c>
      <c r="D128" s="155">
        <v>4014.4480437206948</v>
      </c>
      <c r="E128" s="155">
        <v>516.97687954817866</v>
      </c>
      <c r="F128" s="155">
        <v>490.2138925900407</v>
      </c>
      <c r="G128" s="155">
        <v>26.762986958137969</v>
      </c>
      <c r="H128" s="157">
        <v>3524.2341511306586</v>
      </c>
    </row>
    <row r="129" spans="1:8" ht="16.5">
      <c r="A129" s="134"/>
      <c r="B129" s="156">
        <v>114</v>
      </c>
      <c r="C129" s="154">
        <v>45474</v>
      </c>
      <c r="D129" s="155">
        <v>3524.2341511306586</v>
      </c>
      <c r="E129" s="155">
        <v>516.97687954817866</v>
      </c>
      <c r="F129" s="155">
        <v>493.48198520730762</v>
      </c>
      <c r="G129" s="155">
        <v>23.49489434087106</v>
      </c>
      <c r="H129" s="157">
        <v>3030.7521659233462</v>
      </c>
    </row>
    <row r="130" spans="1:8" ht="16.5">
      <c r="A130" s="134"/>
      <c r="B130" s="156">
        <v>115</v>
      </c>
      <c r="C130" s="154">
        <v>45505</v>
      </c>
      <c r="D130" s="155">
        <v>3030.7521659233462</v>
      </c>
      <c r="E130" s="155">
        <v>516.97687954817866</v>
      </c>
      <c r="F130" s="155">
        <v>496.77186510868967</v>
      </c>
      <c r="G130" s="155">
        <v>20.205014439488977</v>
      </c>
      <c r="H130" s="157">
        <v>2533.98030081467</v>
      </c>
    </row>
    <row r="131" spans="1:8" ht="16.5">
      <c r="A131" s="134"/>
      <c r="B131" s="156">
        <v>116</v>
      </c>
      <c r="C131" s="154">
        <v>45536</v>
      </c>
      <c r="D131" s="155">
        <v>2533.98030081467</v>
      </c>
      <c r="E131" s="155">
        <v>516.97687954817866</v>
      </c>
      <c r="F131" s="155">
        <v>500.08367754274752</v>
      </c>
      <c r="G131" s="155">
        <v>16.893202005431135</v>
      </c>
      <c r="H131" s="157">
        <v>2033.8966232719395</v>
      </c>
    </row>
    <row r="132" spans="1:8" ht="16.5">
      <c r="A132" s="134"/>
      <c r="B132" s="156">
        <v>117</v>
      </c>
      <c r="C132" s="154">
        <v>45566</v>
      </c>
      <c r="D132" s="155">
        <v>2033.8966232719395</v>
      </c>
      <c r="E132" s="155">
        <v>516.97687954817866</v>
      </c>
      <c r="F132" s="155">
        <v>503.41756872636574</v>
      </c>
      <c r="G132" s="155">
        <v>13.559310821812931</v>
      </c>
      <c r="H132" s="157">
        <v>1530.4790545455617</v>
      </c>
    </row>
    <row r="133" spans="1:8" ht="16.5">
      <c r="A133" s="134"/>
      <c r="B133" s="156">
        <v>118</v>
      </c>
      <c r="C133" s="154">
        <v>45597</v>
      </c>
      <c r="D133" s="155">
        <v>1530.4790545455617</v>
      </c>
      <c r="E133" s="155">
        <v>516.97687954817866</v>
      </c>
      <c r="F133" s="155">
        <v>506.77368585120826</v>
      </c>
      <c r="G133" s="155">
        <v>10.203193696970411</v>
      </c>
      <c r="H133" s="157">
        <v>1023.7053686943545</v>
      </c>
    </row>
    <row r="134" spans="1:8" ht="16.5">
      <c r="A134" s="134"/>
      <c r="B134" s="156">
        <v>119</v>
      </c>
      <c r="C134" s="154">
        <v>45627</v>
      </c>
      <c r="D134" s="155">
        <v>1023.7053686943545</v>
      </c>
      <c r="E134" s="155">
        <v>516.97687954817866</v>
      </c>
      <c r="F134" s="155">
        <v>510.1521770902163</v>
      </c>
      <c r="G134" s="155">
        <v>6.8247024579623643</v>
      </c>
      <c r="H134" s="157">
        <v>513.55319160416548</v>
      </c>
    </row>
    <row r="135" spans="1:8" ht="16.5">
      <c r="A135" s="134"/>
      <c r="B135" s="156">
        <v>120</v>
      </c>
      <c r="C135" s="154">
        <v>45658</v>
      </c>
      <c r="D135" s="155">
        <v>513.55319160416548</v>
      </c>
      <c r="E135" s="155">
        <v>516.97687954817866</v>
      </c>
      <c r="F135" s="155">
        <v>513.55319160415092</v>
      </c>
      <c r="G135" s="155">
        <v>3.4236879440277699</v>
      </c>
      <c r="H135" s="157">
        <v>0</v>
      </c>
    </row>
    <row r="136" spans="1:8" ht="16.5">
      <c r="A136" s="134"/>
      <c r="B136" s="156" t="s">
        <v>269</v>
      </c>
      <c r="C136" s="154" t="s">
        <v>269</v>
      </c>
      <c r="D136" s="155" t="s">
        <v>269</v>
      </c>
      <c r="E136" s="155" t="s">
        <v>269</v>
      </c>
      <c r="F136" s="155" t="s">
        <v>269</v>
      </c>
      <c r="G136" s="155" t="s">
        <v>269</v>
      </c>
      <c r="H136" s="157" t="s">
        <v>269</v>
      </c>
    </row>
    <row r="137" spans="1:8" ht="16.5">
      <c r="A137" s="134"/>
      <c r="B137" s="156" t="s">
        <v>269</v>
      </c>
      <c r="C137" s="154" t="s">
        <v>269</v>
      </c>
      <c r="D137" s="155" t="s">
        <v>269</v>
      </c>
      <c r="E137" s="155" t="s">
        <v>269</v>
      </c>
      <c r="F137" s="155" t="s">
        <v>269</v>
      </c>
      <c r="G137" s="155" t="s">
        <v>269</v>
      </c>
      <c r="H137" s="157" t="s">
        <v>269</v>
      </c>
    </row>
    <row r="138" spans="1:8" ht="16.5">
      <c r="A138" s="134"/>
      <c r="B138" s="156" t="s">
        <v>269</v>
      </c>
      <c r="C138" s="154" t="s">
        <v>269</v>
      </c>
      <c r="D138" s="155" t="s">
        <v>269</v>
      </c>
      <c r="E138" s="155" t="s">
        <v>269</v>
      </c>
      <c r="F138" s="155" t="s">
        <v>269</v>
      </c>
      <c r="G138" s="155" t="s">
        <v>269</v>
      </c>
      <c r="H138" s="157" t="s">
        <v>269</v>
      </c>
    </row>
    <row r="139" spans="1:8" ht="16.5">
      <c r="A139" s="134"/>
      <c r="B139" s="156" t="s">
        <v>269</v>
      </c>
      <c r="C139" s="154" t="s">
        <v>269</v>
      </c>
      <c r="D139" s="155" t="s">
        <v>269</v>
      </c>
      <c r="E139" s="155" t="s">
        <v>269</v>
      </c>
      <c r="F139" s="155" t="s">
        <v>269</v>
      </c>
      <c r="G139" s="155" t="s">
        <v>269</v>
      </c>
      <c r="H139" s="157" t="s">
        <v>269</v>
      </c>
    </row>
    <row r="140" spans="1:8" ht="16.5">
      <c r="A140" s="134"/>
      <c r="B140" s="156" t="s">
        <v>269</v>
      </c>
      <c r="C140" s="154" t="s">
        <v>269</v>
      </c>
      <c r="D140" s="155" t="s">
        <v>269</v>
      </c>
      <c r="E140" s="155" t="s">
        <v>269</v>
      </c>
      <c r="F140" s="155" t="s">
        <v>269</v>
      </c>
      <c r="G140" s="155" t="s">
        <v>269</v>
      </c>
      <c r="H140" s="157" t="s">
        <v>269</v>
      </c>
    </row>
    <row r="141" spans="1:8" ht="16.5">
      <c r="A141" s="134"/>
      <c r="B141" s="156" t="s">
        <v>269</v>
      </c>
      <c r="C141" s="154" t="s">
        <v>269</v>
      </c>
      <c r="D141" s="155" t="s">
        <v>269</v>
      </c>
      <c r="E141" s="155" t="s">
        <v>269</v>
      </c>
      <c r="F141" s="155" t="s">
        <v>269</v>
      </c>
      <c r="G141" s="155" t="s">
        <v>269</v>
      </c>
      <c r="H141" s="157" t="s">
        <v>269</v>
      </c>
    </row>
    <row r="142" spans="1:8" ht="16.5">
      <c r="A142" s="134"/>
      <c r="B142" s="156" t="s">
        <v>269</v>
      </c>
      <c r="C142" s="154" t="s">
        <v>269</v>
      </c>
      <c r="D142" s="155" t="s">
        <v>269</v>
      </c>
      <c r="E142" s="155" t="s">
        <v>269</v>
      </c>
      <c r="F142" s="155" t="s">
        <v>269</v>
      </c>
      <c r="G142" s="155" t="s">
        <v>269</v>
      </c>
      <c r="H142" s="157" t="s">
        <v>269</v>
      </c>
    </row>
    <row r="143" spans="1:8" ht="16.5">
      <c r="A143" s="134"/>
      <c r="B143" s="156" t="s">
        <v>269</v>
      </c>
      <c r="C143" s="154" t="s">
        <v>269</v>
      </c>
      <c r="D143" s="155" t="s">
        <v>269</v>
      </c>
      <c r="E143" s="155" t="s">
        <v>269</v>
      </c>
      <c r="F143" s="155" t="s">
        <v>269</v>
      </c>
      <c r="G143" s="155" t="s">
        <v>269</v>
      </c>
      <c r="H143" s="157" t="s">
        <v>269</v>
      </c>
    </row>
    <row r="144" spans="1:8" ht="16.5">
      <c r="A144" s="134"/>
      <c r="B144" s="156" t="s">
        <v>269</v>
      </c>
      <c r="C144" s="154" t="s">
        <v>269</v>
      </c>
      <c r="D144" s="155" t="s">
        <v>269</v>
      </c>
      <c r="E144" s="155" t="s">
        <v>269</v>
      </c>
      <c r="F144" s="155" t="s">
        <v>269</v>
      </c>
      <c r="G144" s="155" t="s">
        <v>269</v>
      </c>
      <c r="H144" s="157" t="s">
        <v>269</v>
      </c>
    </row>
    <row r="145" spans="1:8" ht="16.5">
      <c r="A145" s="134"/>
      <c r="B145" s="156" t="s">
        <v>269</v>
      </c>
      <c r="C145" s="154" t="s">
        <v>269</v>
      </c>
      <c r="D145" s="155" t="s">
        <v>269</v>
      </c>
      <c r="E145" s="155" t="s">
        <v>269</v>
      </c>
      <c r="F145" s="155" t="s">
        <v>269</v>
      </c>
      <c r="G145" s="155" t="s">
        <v>269</v>
      </c>
      <c r="H145" s="157" t="s">
        <v>269</v>
      </c>
    </row>
    <row r="146" spans="1:8" ht="16.5">
      <c r="A146" s="134"/>
      <c r="B146" s="156" t="s">
        <v>269</v>
      </c>
      <c r="C146" s="154" t="s">
        <v>269</v>
      </c>
      <c r="D146" s="155" t="s">
        <v>269</v>
      </c>
      <c r="E146" s="155" t="s">
        <v>269</v>
      </c>
      <c r="F146" s="155" t="s">
        <v>269</v>
      </c>
      <c r="G146" s="155" t="s">
        <v>269</v>
      </c>
      <c r="H146" s="157" t="s">
        <v>269</v>
      </c>
    </row>
    <row r="147" spans="1:8" ht="16.5">
      <c r="A147" s="134"/>
      <c r="B147" s="156" t="s">
        <v>269</v>
      </c>
      <c r="C147" s="154" t="s">
        <v>269</v>
      </c>
      <c r="D147" s="155" t="s">
        <v>269</v>
      </c>
      <c r="E147" s="155" t="s">
        <v>269</v>
      </c>
      <c r="F147" s="155" t="s">
        <v>269</v>
      </c>
      <c r="G147" s="155" t="s">
        <v>269</v>
      </c>
      <c r="H147" s="157" t="s">
        <v>269</v>
      </c>
    </row>
    <row r="148" spans="1:8" ht="16.5">
      <c r="A148" s="134"/>
      <c r="B148" s="156" t="s">
        <v>269</v>
      </c>
      <c r="C148" s="154" t="s">
        <v>269</v>
      </c>
      <c r="D148" s="155" t="s">
        <v>269</v>
      </c>
      <c r="E148" s="155" t="s">
        <v>269</v>
      </c>
      <c r="F148" s="155" t="s">
        <v>269</v>
      </c>
      <c r="G148" s="155" t="s">
        <v>269</v>
      </c>
      <c r="H148" s="157" t="s">
        <v>269</v>
      </c>
    </row>
    <row r="149" spans="1:8" ht="16.5">
      <c r="A149" s="134"/>
      <c r="B149" s="156" t="s">
        <v>269</v>
      </c>
      <c r="C149" s="154" t="s">
        <v>269</v>
      </c>
      <c r="D149" s="155" t="s">
        <v>269</v>
      </c>
      <c r="E149" s="155" t="s">
        <v>269</v>
      </c>
      <c r="F149" s="155" t="s">
        <v>269</v>
      </c>
      <c r="G149" s="155" t="s">
        <v>269</v>
      </c>
      <c r="H149" s="157" t="s">
        <v>269</v>
      </c>
    </row>
    <row r="150" spans="1:8" ht="16.5">
      <c r="A150" s="134"/>
      <c r="B150" s="156" t="s">
        <v>269</v>
      </c>
      <c r="C150" s="154" t="s">
        <v>269</v>
      </c>
      <c r="D150" s="155" t="s">
        <v>269</v>
      </c>
      <c r="E150" s="155" t="s">
        <v>269</v>
      </c>
      <c r="F150" s="155" t="s">
        <v>269</v>
      </c>
      <c r="G150" s="155" t="s">
        <v>269</v>
      </c>
      <c r="H150" s="157" t="s">
        <v>269</v>
      </c>
    </row>
    <row r="151" spans="1:8" ht="16.5">
      <c r="A151" s="134"/>
      <c r="B151" s="156" t="s">
        <v>269</v>
      </c>
      <c r="C151" s="154" t="s">
        <v>269</v>
      </c>
      <c r="D151" s="155" t="s">
        <v>269</v>
      </c>
      <c r="E151" s="155" t="s">
        <v>269</v>
      </c>
      <c r="F151" s="155" t="s">
        <v>269</v>
      </c>
      <c r="G151" s="155" t="s">
        <v>269</v>
      </c>
      <c r="H151" s="157" t="s">
        <v>269</v>
      </c>
    </row>
    <row r="152" spans="1:8" ht="16.5">
      <c r="A152" s="134"/>
      <c r="B152" s="156" t="s">
        <v>269</v>
      </c>
      <c r="C152" s="154" t="s">
        <v>269</v>
      </c>
      <c r="D152" s="155" t="s">
        <v>269</v>
      </c>
      <c r="E152" s="155" t="s">
        <v>269</v>
      </c>
      <c r="F152" s="155" t="s">
        <v>269</v>
      </c>
      <c r="G152" s="155" t="s">
        <v>269</v>
      </c>
      <c r="H152" s="157" t="s">
        <v>269</v>
      </c>
    </row>
    <row r="153" spans="1:8" ht="16.5">
      <c r="A153" s="134"/>
      <c r="B153" s="156" t="s">
        <v>269</v>
      </c>
      <c r="C153" s="154" t="s">
        <v>269</v>
      </c>
      <c r="D153" s="155" t="s">
        <v>269</v>
      </c>
      <c r="E153" s="155" t="s">
        <v>269</v>
      </c>
      <c r="F153" s="155" t="s">
        <v>269</v>
      </c>
      <c r="G153" s="155" t="s">
        <v>269</v>
      </c>
      <c r="H153" s="157" t="s">
        <v>269</v>
      </c>
    </row>
    <row r="154" spans="1:8" ht="16.5">
      <c r="A154" s="134"/>
      <c r="B154" s="156" t="s">
        <v>269</v>
      </c>
      <c r="C154" s="154" t="s">
        <v>269</v>
      </c>
      <c r="D154" s="155" t="s">
        <v>269</v>
      </c>
      <c r="E154" s="155" t="s">
        <v>269</v>
      </c>
      <c r="F154" s="155" t="s">
        <v>269</v>
      </c>
      <c r="G154" s="155" t="s">
        <v>269</v>
      </c>
      <c r="H154" s="157" t="s">
        <v>269</v>
      </c>
    </row>
    <row r="155" spans="1:8" ht="16.5">
      <c r="A155" s="134"/>
      <c r="B155" s="156" t="s">
        <v>269</v>
      </c>
      <c r="C155" s="154" t="s">
        <v>269</v>
      </c>
      <c r="D155" s="155" t="s">
        <v>269</v>
      </c>
      <c r="E155" s="155" t="s">
        <v>269</v>
      </c>
      <c r="F155" s="155" t="s">
        <v>269</v>
      </c>
      <c r="G155" s="155" t="s">
        <v>269</v>
      </c>
      <c r="H155" s="157" t="s">
        <v>269</v>
      </c>
    </row>
    <row r="156" spans="1:8" ht="16.5">
      <c r="A156" s="134"/>
      <c r="B156" s="156" t="s">
        <v>269</v>
      </c>
      <c r="C156" s="154" t="s">
        <v>269</v>
      </c>
      <c r="D156" s="155" t="s">
        <v>269</v>
      </c>
      <c r="E156" s="155" t="s">
        <v>269</v>
      </c>
      <c r="F156" s="155" t="s">
        <v>269</v>
      </c>
      <c r="G156" s="155" t="s">
        <v>269</v>
      </c>
      <c r="H156" s="157" t="s">
        <v>269</v>
      </c>
    </row>
    <row r="157" spans="1:8" ht="16.5">
      <c r="A157" s="134"/>
      <c r="B157" s="156" t="s">
        <v>269</v>
      </c>
      <c r="C157" s="154" t="s">
        <v>269</v>
      </c>
      <c r="D157" s="155" t="s">
        <v>269</v>
      </c>
      <c r="E157" s="155" t="s">
        <v>269</v>
      </c>
      <c r="F157" s="155" t="s">
        <v>269</v>
      </c>
      <c r="G157" s="155" t="s">
        <v>269</v>
      </c>
      <c r="H157" s="157" t="s">
        <v>269</v>
      </c>
    </row>
    <row r="158" spans="1:8" ht="16.5">
      <c r="A158" s="134"/>
      <c r="B158" s="156" t="s">
        <v>269</v>
      </c>
      <c r="C158" s="154" t="s">
        <v>269</v>
      </c>
      <c r="D158" s="155" t="s">
        <v>269</v>
      </c>
      <c r="E158" s="155" t="s">
        <v>269</v>
      </c>
      <c r="F158" s="155" t="s">
        <v>269</v>
      </c>
      <c r="G158" s="155" t="s">
        <v>269</v>
      </c>
      <c r="H158" s="157" t="s">
        <v>269</v>
      </c>
    </row>
    <row r="159" spans="1:8" ht="16.5">
      <c r="A159" s="134"/>
      <c r="B159" s="156" t="s">
        <v>269</v>
      </c>
      <c r="C159" s="154" t="s">
        <v>269</v>
      </c>
      <c r="D159" s="155" t="s">
        <v>269</v>
      </c>
      <c r="E159" s="155" t="s">
        <v>269</v>
      </c>
      <c r="F159" s="155" t="s">
        <v>269</v>
      </c>
      <c r="G159" s="155" t="s">
        <v>269</v>
      </c>
      <c r="H159" s="157" t="s">
        <v>269</v>
      </c>
    </row>
    <row r="160" spans="1:8" ht="16.5">
      <c r="A160" s="134"/>
      <c r="B160" s="156" t="s">
        <v>269</v>
      </c>
      <c r="C160" s="154" t="s">
        <v>269</v>
      </c>
      <c r="D160" s="155" t="s">
        <v>269</v>
      </c>
      <c r="E160" s="155" t="s">
        <v>269</v>
      </c>
      <c r="F160" s="155" t="s">
        <v>269</v>
      </c>
      <c r="G160" s="155" t="s">
        <v>269</v>
      </c>
      <c r="H160" s="157" t="s">
        <v>269</v>
      </c>
    </row>
    <row r="161" spans="1:8" ht="16.5">
      <c r="A161" s="134"/>
      <c r="B161" s="156" t="s">
        <v>269</v>
      </c>
      <c r="C161" s="154" t="s">
        <v>269</v>
      </c>
      <c r="D161" s="155" t="s">
        <v>269</v>
      </c>
      <c r="E161" s="155" t="s">
        <v>269</v>
      </c>
      <c r="F161" s="155" t="s">
        <v>269</v>
      </c>
      <c r="G161" s="155" t="s">
        <v>269</v>
      </c>
      <c r="H161" s="157" t="s">
        <v>269</v>
      </c>
    </row>
    <row r="162" spans="1:8" ht="16.5">
      <c r="A162" s="134"/>
      <c r="B162" s="156" t="s">
        <v>269</v>
      </c>
      <c r="C162" s="154" t="s">
        <v>269</v>
      </c>
      <c r="D162" s="155" t="s">
        <v>269</v>
      </c>
      <c r="E162" s="155" t="s">
        <v>269</v>
      </c>
      <c r="F162" s="155" t="s">
        <v>269</v>
      </c>
      <c r="G162" s="155" t="s">
        <v>269</v>
      </c>
      <c r="H162" s="157" t="s">
        <v>269</v>
      </c>
    </row>
    <row r="163" spans="1:8" ht="16.5">
      <c r="A163" s="134"/>
      <c r="B163" s="156" t="s">
        <v>269</v>
      </c>
      <c r="C163" s="154" t="s">
        <v>269</v>
      </c>
      <c r="D163" s="155" t="s">
        <v>269</v>
      </c>
      <c r="E163" s="155" t="s">
        <v>269</v>
      </c>
      <c r="F163" s="155" t="s">
        <v>269</v>
      </c>
      <c r="G163" s="155" t="s">
        <v>269</v>
      </c>
      <c r="H163" s="157" t="s">
        <v>269</v>
      </c>
    </row>
    <row r="164" spans="1:8" ht="16.5">
      <c r="A164" s="134"/>
      <c r="B164" s="156" t="s">
        <v>269</v>
      </c>
      <c r="C164" s="154" t="s">
        <v>269</v>
      </c>
      <c r="D164" s="155" t="s">
        <v>269</v>
      </c>
      <c r="E164" s="155" t="s">
        <v>269</v>
      </c>
      <c r="F164" s="155" t="s">
        <v>269</v>
      </c>
      <c r="G164" s="155" t="s">
        <v>269</v>
      </c>
      <c r="H164" s="157" t="s">
        <v>269</v>
      </c>
    </row>
    <row r="165" spans="1:8" ht="16.5">
      <c r="A165" s="134"/>
      <c r="B165" s="156" t="s">
        <v>269</v>
      </c>
      <c r="C165" s="154" t="s">
        <v>269</v>
      </c>
      <c r="D165" s="155" t="s">
        <v>269</v>
      </c>
      <c r="E165" s="155" t="s">
        <v>269</v>
      </c>
      <c r="F165" s="155" t="s">
        <v>269</v>
      </c>
      <c r="G165" s="155" t="s">
        <v>269</v>
      </c>
      <c r="H165" s="157" t="s">
        <v>269</v>
      </c>
    </row>
    <row r="166" spans="1:8" ht="16.5">
      <c r="A166" s="134"/>
      <c r="B166" s="156" t="s">
        <v>269</v>
      </c>
      <c r="C166" s="154" t="s">
        <v>269</v>
      </c>
      <c r="D166" s="155" t="s">
        <v>269</v>
      </c>
      <c r="E166" s="155" t="s">
        <v>269</v>
      </c>
      <c r="F166" s="155" t="s">
        <v>269</v>
      </c>
      <c r="G166" s="155" t="s">
        <v>269</v>
      </c>
      <c r="H166" s="157" t="s">
        <v>269</v>
      </c>
    </row>
    <row r="167" spans="1:8" ht="16.5">
      <c r="A167" s="134"/>
      <c r="B167" s="156" t="s">
        <v>269</v>
      </c>
      <c r="C167" s="154" t="s">
        <v>269</v>
      </c>
      <c r="D167" s="155" t="s">
        <v>269</v>
      </c>
      <c r="E167" s="155" t="s">
        <v>269</v>
      </c>
      <c r="F167" s="155" t="s">
        <v>269</v>
      </c>
      <c r="G167" s="155" t="s">
        <v>269</v>
      </c>
      <c r="H167" s="157" t="s">
        <v>269</v>
      </c>
    </row>
    <row r="168" spans="1:8" ht="16.5">
      <c r="A168" s="134"/>
      <c r="B168" s="156" t="s">
        <v>269</v>
      </c>
      <c r="C168" s="154" t="s">
        <v>269</v>
      </c>
      <c r="D168" s="155" t="s">
        <v>269</v>
      </c>
      <c r="E168" s="155" t="s">
        <v>269</v>
      </c>
      <c r="F168" s="155" t="s">
        <v>269</v>
      </c>
      <c r="G168" s="155" t="s">
        <v>269</v>
      </c>
      <c r="H168" s="157" t="s">
        <v>269</v>
      </c>
    </row>
    <row r="169" spans="1:8" ht="16.5">
      <c r="A169" s="134"/>
      <c r="B169" s="156" t="s">
        <v>269</v>
      </c>
      <c r="C169" s="154" t="s">
        <v>269</v>
      </c>
      <c r="D169" s="155" t="s">
        <v>269</v>
      </c>
      <c r="E169" s="155" t="s">
        <v>269</v>
      </c>
      <c r="F169" s="155" t="s">
        <v>269</v>
      </c>
      <c r="G169" s="155" t="s">
        <v>269</v>
      </c>
      <c r="H169" s="157" t="s">
        <v>269</v>
      </c>
    </row>
    <row r="170" spans="1:8" ht="16.5">
      <c r="A170" s="134"/>
      <c r="B170" s="156" t="s">
        <v>269</v>
      </c>
      <c r="C170" s="154" t="s">
        <v>269</v>
      </c>
      <c r="D170" s="155" t="s">
        <v>269</v>
      </c>
      <c r="E170" s="155" t="s">
        <v>269</v>
      </c>
      <c r="F170" s="155" t="s">
        <v>269</v>
      </c>
      <c r="G170" s="155" t="s">
        <v>269</v>
      </c>
      <c r="H170" s="157" t="s">
        <v>269</v>
      </c>
    </row>
    <row r="171" spans="1:8" ht="16.5">
      <c r="A171" s="134"/>
      <c r="B171" s="156" t="s">
        <v>269</v>
      </c>
      <c r="C171" s="154" t="s">
        <v>269</v>
      </c>
      <c r="D171" s="155" t="s">
        <v>269</v>
      </c>
      <c r="E171" s="155" t="s">
        <v>269</v>
      </c>
      <c r="F171" s="155" t="s">
        <v>269</v>
      </c>
      <c r="G171" s="155" t="s">
        <v>269</v>
      </c>
      <c r="H171" s="157" t="s">
        <v>269</v>
      </c>
    </row>
    <row r="172" spans="1:8" ht="16.5">
      <c r="A172" s="134"/>
      <c r="B172" s="156" t="s">
        <v>269</v>
      </c>
      <c r="C172" s="154" t="s">
        <v>269</v>
      </c>
      <c r="D172" s="155" t="s">
        <v>269</v>
      </c>
      <c r="E172" s="155" t="s">
        <v>269</v>
      </c>
      <c r="F172" s="155" t="s">
        <v>269</v>
      </c>
      <c r="G172" s="155" t="s">
        <v>269</v>
      </c>
      <c r="H172" s="157" t="s">
        <v>269</v>
      </c>
    </row>
    <row r="173" spans="1:8" ht="16.5">
      <c r="A173" s="134"/>
      <c r="B173" s="156" t="s">
        <v>269</v>
      </c>
      <c r="C173" s="154" t="s">
        <v>269</v>
      </c>
      <c r="D173" s="155" t="s">
        <v>269</v>
      </c>
      <c r="E173" s="155" t="s">
        <v>269</v>
      </c>
      <c r="F173" s="155" t="s">
        <v>269</v>
      </c>
      <c r="G173" s="155" t="s">
        <v>269</v>
      </c>
      <c r="H173" s="157" t="s">
        <v>269</v>
      </c>
    </row>
    <row r="174" spans="1:8" ht="16.5">
      <c r="A174" s="134"/>
      <c r="B174" s="156" t="s">
        <v>269</v>
      </c>
      <c r="C174" s="154" t="s">
        <v>269</v>
      </c>
      <c r="D174" s="155" t="s">
        <v>269</v>
      </c>
      <c r="E174" s="155" t="s">
        <v>269</v>
      </c>
      <c r="F174" s="155" t="s">
        <v>269</v>
      </c>
      <c r="G174" s="155" t="s">
        <v>269</v>
      </c>
      <c r="H174" s="157" t="s">
        <v>269</v>
      </c>
    </row>
    <row r="175" spans="1:8" ht="16.5">
      <c r="A175" s="134"/>
      <c r="B175" s="156" t="s">
        <v>269</v>
      </c>
      <c r="C175" s="154" t="s">
        <v>269</v>
      </c>
      <c r="D175" s="155" t="s">
        <v>269</v>
      </c>
      <c r="E175" s="155" t="s">
        <v>269</v>
      </c>
      <c r="F175" s="155" t="s">
        <v>269</v>
      </c>
      <c r="G175" s="155" t="s">
        <v>269</v>
      </c>
      <c r="H175" s="157" t="s">
        <v>269</v>
      </c>
    </row>
    <row r="176" spans="1:8" ht="16.5">
      <c r="A176" s="134"/>
      <c r="B176" s="156" t="s">
        <v>269</v>
      </c>
      <c r="C176" s="154" t="s">
        <v>269</v>
      </c>
      <c r="D176" s="155" t="s">
        <v>269</v>
      </c>
      <c r="E176" s="155" t="s">
        <v>269</v>
      </c>
      <c r="F176" s="155" t="s">
        <v>269</v>
      </c>
      <c r="G176" s="155" t="s">
        <v>269</v>
      </c>
      <c r="H176" s="157" t="s">
        <v>269</v>
      </c>
    </row>
    <row r="177" spans="1:8" ht="16.5">
      <c r="A177" s="134"/>
      <c r="B177" s="156" t="s">
        <v>269</v>
      </c>
      <c r="C177" s="154" t="s">
        <v>269</v>
      </c>
      <c r="D177" s="155" t="s">
        <v>269</v>
      </c>
      <c r="E177" s="155" t="s">
        <v>269</v>
      </c>
      <c r="F177" s="155" t="s">
        <v>269</v>
      </c>
      <c r="G177" s="155" t="s">
        <v>269</v>
      </c>
      <c r="H177" s="157" t="s">
        <v>269</v>
      </c>
    </row>
    <row r="178" spans="1:8" ht="16.5">
      <c r="A178" s="134"/>
      <c r="B178" s="156" t="s">
        <v>269</v>
      </c>
      <c r="C178" s="154" t="s">
        <v>269</v>
      </c>
      <c r="D178" s="155" t="s">
        <v>269</v>
      </c>
      <c r="E178" s="155" t="s">
        <v>269</v>
      </c>
      <c r="F178" s="155" t="s">
        <v>269</v>
      </c>
      <c r="G178" s="155" t="s">
        <v>269</v>
      </c>
      <c r="H178" s="157" t="s">
        <v>269</v>
      </c>
    </row>
    <row r="179" spans="1:8" ht="16.5">
      <c r="A179" s="134"/>
      <c r="B179" s="156" t="s">
        <v>269</v>
      </c>
      <c r="C179" s="154" t="s">
        <v>269</v>
      </c>
      <c r="D179" s="155" t="s">
        <v>269</v>
      </c>
      <c r="E179" s="155" t="s">
        <v>269</v>
      </c>
      <c r="F179" s="155" t="s">
        <v>269</v>
      </c>
      <c r="G179" s="155" t="s">
        <v>269</v>
      </c>
      <c r="H179" s="157" t="s">
        <v>269</v>
      </c>
    </row>
    <row r="180" spans="1:8" ht="16.5">
      <c r="A180" s="134"/>
      <c r="B180" s="156" t="s">
        <v>269</v>
      </c>
      <c r="C180" s="154" t="s">
        <v>269</v>
      </c>
      <c r="D180" s="155" t="s">
        <v>269</v>
      </c>
      <c r="E180" s="155" t="s">
        <v>269</v>
      </c>
      <c r="F180" s="155" t="s">
        <v>269</v>
      </c>
      <c r="G180" s="155" t="s">
        <v>269</v>
      </c>
      <c r="H180" s="157" t="s">
        <v>269</v>
      </c>
    </row>
    <row r="181" spans="1:8" ht="16.5">
      <c r="A181" s="134"/>
      <c r="B181" s="156" t="s">
        <v>269</v>
      </c>
      <c r="C181" s="154" t="s">
        <v>269</v>
      </c>
      <c r="D181" s="155" t="s">
        <v>269</v>
      </c>
      <c r="E181" s="155" t="s">
        <v>269</v>
      </c>
      <c r="F181" s="155" t="s">
        <v>269</v>
      </c>
      <c r="G181" s="155" t="s">
        <v>269</v>
      </c>
      <c r="H181" s="157" t="s">
        <v>269</v>
      </c>
    </row>
    <row r="182" spans="1:8" ht="16.5">
      <c r="A182" s="134"/>
      <c r="B182" s="156" t="s">
        <v>269</v>
      </c>
      <c r="C182" s="154" t="s">
        <v>269</v>
      </c>
      <c r="D182" s="155" t="s">
        <v>269</v>
      </c>
      <c r="E182" s="155" t="s">
        <v>269</v>
      </c>
      <c r="F182" s="155" t="s">
        <v>269</v>
      </c>
      <c r="G182" s="155" t="s">
        <v>269</v>
      </c>
      <c r="H182" s="157" t="s">
        <v>269</v>
      </c>
    </row>
    <row r="183" spans="1:8" ht="16.5">
      <c r="A183" s="134"/>
      <c r="B183" s="156" t="s">
        <v>269</v>
      </c>
      <c r="C183" s="154" t="s">
        <v>269</v>
      </c>
      <c r="D183" s="155" t="s">
        <v>269</v>
      </c>
      <c r="E183" s="155" t="s">
        <v>269</v>
      </c>
      <c r="F183" s="155" t="s">
        <v>269</v>
      </c>
      <c r="G183" s="155" t="s">
        <v>269</v>
      </c>
      <c r="H183" s="157" t="s">
        <v>269</v>
      </c>
    </row>
    <row r="184" spans="1:8" ht="16.5">
      <c r="A184" s="134"/>
      <c r="B184" s="156" t="s">
        <v>269</v>
      </c>
      <c r="C184" s="154" t="s">
        <v>269</v>
      </c>
      <c r="D184" s="155" t="s">
        <v>269</v>
      </c>
      <c r="E184" s="155" t="s">
        <v>269</v>
      </c>
      <c r="F184" s="155" t="s">
        <v>269</v>
      </c>
      <c r="G184" s="155" t="s">
        <v>269</v>
      </c>
      <c r="H184" s="157" t="s">
        <v>269</v>
      </c>
    </row>
    <row r="185" spans="1:8" ht="16.5">
      <c r="A185" s="134"/>
      <c r="B185" s="156" t="s">
        <v>269</v>
      </c>
      <c r="C185" s="154" t="s">
        <v>269</v>
      </c>
      <c r="D185" s="155" t="s">
        <v>269</v>
      </c>
      <c r="E185" s="155" t="s">
        <v>269</v>
      </c>
      <c r="F185" s="155" t="s">
        <v>269</v>
      </c>
      <c r="G185" s="155" t="s">
        <v>269</v>
      </c>
      <c r="H185" s="157" t="s">
        <v>269</v>
      </c>
    </row>
    <row r="186" spans="1:8" ht="16.5">
      <c r="A186" s="134"/>
      <c r="B186" s="156" t="s">
        <v>269</v>
      </c>
      <c r="C186" s="154" t="s">
        <v>269</v>
      </c>
      <c r="D186" s="155" t="s">
        <v>269</v>
      </c>
      <c r="E186" s="155" t="s">
        <v>269</v>
      </c>
      <c r="F186" s="155" t="s">
        <v>269</v>
      </c>
      <c r="G186" s="155" t="s">
        <v>269</v>
      </c>
      <c r="H186" s="157" t="s">
        <v>269</v>
      </c>
    </row>
    <row r="187" spans="1:8" ht="16.5">
      <c r="A187" s="134"/>
      <c r="B187" s="156" t="s">
        <v>269</v>
      </c>
      <c r="C187" s="154" t="s">
        <v>269</v>
      </c>
      <c r="D187" s="155" t="s">
        <v>269</v>
      </c>
      <c r="E187" s="155" t="s">
        <v>269</v>
      </c>
      <c r="F187" s="155" t="s">
        <v>269</v>
      </c>
      <c r="G187" s="155" t="s">
        <v>269</v>
      </c>
      <c r="H187" s="157" t="s">
        <v>269</v>
      </c>
    </row>
    <row r="188" spans="1:8" ht="16.5">
      <c r="A188" s="134"/>
      <c r="B188" s="156" t="s">
        <v>269</v>
      </c>
      <c r="C188" s="154" t="s">
        <v>269</v>
      </c>
      <c r="D188" s="155" t="s">
        <v>269</v>
      </c>
      <c r="E188" s="155" t="s">
        <v>269</v>
      </c>
      <c r="F188" s="155" t="s">
        <v>269</v>
      </c>
      <c r="G188" s="155" t="s">
        <v>269</v>
      </c>
      <c r="H188" s="157" t="s">
        <v>269</v>
      </c>
    </row>
    <row r="189" spans="1:8" ht="16.5">
      <c r="A189" s="134"/>
      <c r="B189" s="156" t="s">
        <v>269</v>
      </c>
      <c r="C189" s="154" t="s">
        <v>269</v>
      </c>
      <c r="D189" s="155" t="s">
        <v>269</v>
      </c>
      <c r="E189" s="155" t="s">
        <v>269</v>
      </c>
      <c r="F189" s="155" t="s">
        <v>269</v>
      </c>
      <c r="G189" s="155" t="s">
        <v>269</v>
      </c>
      <c r="H189" s="157" t="s">
        <v>269</v>
      </c>
    </row>
    <row r="190" spans="1:8" ht="16.5">
      <c r="A190" s="134"/>
      <c r="B190" s="156" t="s">
        <v>269</v>
      </c>
      <c r="C190" s="154" t="s">
        <v>269</v>
      </c>
      <c r="D190" s="155" t="s">
        <v>269</v>
      </c>
      <c r="E190" s="155" t="s">
        <v>269</v>
      </c>
      <c r="F190" s="155" t="s">
        <v>269</v>
      </c>
      <c r="G190" s="155" t="s">
        <v>269</v>
      </c>
      <c r="H190" s="157" t="s">
        <v>269</v>
      </c>
    </row>
    <row r="191" spans="1:8" ht="16.5">
      <c r="A191" s="134"/>
      <c r="B191" s="156" t="s">
        <v>269</v>
      </c>
      <c r="C191" s="154" t="s">
        <v>269</v>
      </c>
      <c r="D191" s="155" t="s">
        <v>269</v>
      </c>
      <c r="E191" s="155" t="s">
        <v>269</v>
      </c>
      <c r="F191" s="155" t="s">
        <v>269</v>
      </c>
      <c r="G191" s="155" t="s">
        <v>269</v>
      </c>
      <c r="H191" s="157" t="s">
        <v>269</v>
      </c>
    </row>
    <row r="192" spans="1:8" ht="16.5">
      <c r="A192" s="134"/>
      <c r="B192" s="156" t="s">
        <v>269</v>
      </c>
      <c r="C192" s="154" t="s">
        <v>269</v>
      </c>
      <c r="D192" s="155" t="s">
        <v>269</v>
      </c>
      <c r="E192" s="155" t="s">
        <v>269</v>
      </c>
      <c r="F192" s="155" t="s">
        <v>269</v>
      </c>
      <c r="G192" s="155" t="s">
        <v>269</v>
      </c>
      <c r="H192" s="157" t="s">
        <v>269</v>
      </c>
    </row>
    <row r="193" spans="1:8" ht="16.5">
      <c r="A193" s="134"/>
      <c r="B193" s="156" t="s">
        <v>269</v>
      </c>
      <c r="C193" s="154" t="s">
        <v>269</v>
      </c>
      <c r="D193" s="155" t="s">
        <v>269</v>
      </c>
      <c r="E193" s="155" t="s">
        <v>269</v>
      </c>
      <c r="F193" s="155" t="s">
        <v>269</v>
      </c>
      <c r="G193" s="155" t="s">
        <v>269</v>
      </c>
      <c r="H193" s="157" t="s">
        <v>269</v>
      </c>
    </row>
    <row r="194" spans="1:8" ht="16.5">
      <c r="A194" s="134"/>
      <c r="B194" s="156" t="s">
        <v>269</v>
      </c>
      <c r="C194" s="154" t="s">
        <v>269</v>
      </c>
      <c r="D194" s="155" t="s">
        <v>269</v>
      </c>
      <c r="E194" s="155" t="s">
        <v>269</v>
      </c>
      <c r="F194" s="155" t="s">
        <v>269</v>
      </c>
      <c r="G194" s="155" t="s">
        <v>269</v>
      </c>
      <c r="H194" s="157" t="s">
        <v>269</v>
      </c>
    </row>
    <row r="195" spans="1:8" ht="16.5">
      <c r="A195" s="134"/>
      <c r="B195" s="156" t="s">
        <v>269</v>
      </c>
      <c r="C195" s="154" t="s">
        <v>269</v>
      </c>
      <c r="D195" s="155" t="s">
        <v>269</v>
      </c>
      <c r="E195" s="155" t="s">
        <v>269</v>
      </c>
      <c r="F195" s="155" t="s">
        <v>269</v>
      </c>
      <c r="G195" s="155" t="s">
        <v>269</v>
      </c>
      <c r="H195" s="157" t="s">
        <v>269</v>
      </c>
    </row>
    <row r="196" spans="1:8" ht="16.5">
      <c r="A196" s="134"/>
      <c r="B196" s="156" t="s">
        <v>269</v>
      </c>
      <c r="C196" s="154" t="s">
        <v>269</v>
      </c>
      <c r="D196" s="155" t="s">
        <v>269</v>
      </c>
      <c r="E196" s="155" t="s">
        <v>269</v>
      </c>
      <c r="F196" s="155" t="s">
        <v>269</v>
      </c>
      <c r="G196" s="155" t="s">
        <v>269</v>
      </c>
      <c r="H196" s="157" t="s">
        <v>269</v>
      </c>
    </row>
    <row r="197" spans="1:8" ht="16.5">
      <c r="A197" s="134"/>
      <c r="B197" s="156" t="s">
        <v>269</v>
      </c>
      <c r="C197" s="154" t="s">
        <v>269</v>
      </c>
      <c r="D197" s="155" t="s">
        <v>269</v>
      </c>
      <c r="E197" s="155" t="s">
        <v>269</v>
      </c>
      <c r="F197" s="155" t="s">
        <v>269</v>
      </c>
      <c r="G197" s="155" t="s">
        <v>269</v>
      </c>
      <c r="H197" s="157" t="s">
        <v>269</v>
      </c>
    </row>
    <row r="198" spans="1:8" ht="16.5">
      <c r="A198" s="134"/>
      <c r="B198" s="156" t="s">
        <v>269</v>
      </c>
      <c r="C198" s="154" t="s">
        <v>269</v>
      </c>
      <c r="D198" s="155" t="s">
        <v>269</v>
      </c>
      <c r="E198" s="155" t="s">
        <v>269</v>
      </c>
      <c r="F198" s="155" t="s">
        <v>269</v>
      </c>
      <c r="G198" s="155" t="s">
        <v>269</v>
      </c>
      <c r="H198" s="157" t="s">
        <v>269</v>
      </c>
    </row>
    <row r="199" spans="1:8" ht="16.5">
      <c r="A199" s="134"/>
      <c r="B199" s="156" t="s">
        <v>269</v>
      </c>
      <c r="C199" s="154" t="s">
        <v>269</v>
      </c>
      <c r="D199" s="155" t="s">
        <v>269</v>
      </c>
      <c r="E199" s="155" t="s">
        <v>269</v>
      </c>
      <c r="F199" s="155" t="s">
        <v>269</v>
      </c>
      <c r="G199" s="155" t="s">
        <v>269</v>
      </c>
      <c r="H199" s="157" t="s">
        <v>269</v>
      </c>
    </row>
    <row r="200" spans="1:8" ht="16.5">
      <c r="A200" s="134"/>
      <c r="B200" s="156" t="s">
        <v>269</v>
      </c>
      <c r="C200" s="154" t="s">
        <v>269</v>
      </c>
      <c r="D200" s="155" t="s">
        <v>269</v>
      </c>
      <c r="E200" s="155" t="s">
        <v>269</v>
      </c>
      <c r="F200" s="155" t="s">
        <v>269</v>
      </c>
      <c r="G200" s="155" t="s">
        <v>269</v>
      </c>
      <c r="H200" s="157" t="s">
        <v>269</v>
      </c>
    </row>
    <row r="201" spans="1:8" ht="16.5">
      <c r="A201" s="134"/>
      <c r="B201" s="156" t="s">
        <v>269</v>
      </c>
      <c r="C201" s="154" t="s">
        <v>269</v>
      </c>
      <c r="D201" s="155" t="s">
        <v>269</v>
      </c>
      <c r="E201" s="155" t="s">
        <v>269</v>
      </c>
      <c r="F201" s="155" t="s">
        <v>269</v>
      </c>
      <c r="G201" s="155" t="s">
        <v>269</v>
      </c>
      <c r="H201" s="157" t="s">
        <v>269</v>
      </c>
    </row>
    <row r="202" spans="1:8" ht="16.5">
      <c r="A202" s="134"/>
      <c r="B202" s="156" t="s">
        <v>269</v>
      </c>
      <c r="C202" s="154" t="s">
        <v>269</v>
      </c>
      <c r="D202" s="155" t="s">
        <v>269</v>
      </c>
      <c r="E202" s="155" t="s">
        <v>269</v>
      </c>
      <c r="F202" s="155" t="s">
        <v>269</v>
      </c>
      <c r="G202" s="155" t="s">
        <v>269</v>
      </c>
      <c r="H202" s="157" t="s">
        <v>269</v>
      </c>
    </row>
    <row r="203" spans="1:8" ht="16.5">
      <c r="A203" s="134"/>
      <c r="B203" s="156" t="s">
        <v>269</v>
      </c>
      <c r="C203" s="154" t="s">
        <v>269</v>
      </c>
      <c r="D203" s="155" t="s">
        <v>269</v>
      </c>
      <c r="E203" s="155" t="s">
        <v>269</v>
      </c>
      <c r="F203" s="155" t="s">
        <v>269</v>
      </c>
      <c r="G203" s="155" t="s">
        <v>269</v>
      </c>
      <c r="H203" s="157" t="s">
        <v>269</v>
      </c>
    </row>
    <row r="204" spans="1:8" ht="16.5">
      <c r="A204" s="134"/>
      <c r="B204" s="156" t="s">
        <v>269</v>
      </c>
      <c r="C204" s="154" t="s">
        <v>269</v>
      </c>
      <c r="D204" s="155" t="s">
        <v>269</v>
      </c>
      <c r="E204" s="155" t="s">
        <v>269</v>
      </c>
      <c r="F204" s="155" t="s">
        <v>269</v>
      </c>
      <c r="G204" s="155" t="s">
        <v>269</v>
      </c>
      <c r="H204" s="157" t="s">
        <v>269</v>
      </c>
    </row>
    <row r="205" spans="1:8" ht="16.5">
      <c r="A205" s="134"/>
      <c r="B205" s="156" t="s">
        <v>269</v>
      </c>
      <c r="C205" s="154" t="s">
        <v>269</v>
      </c>
      <c r="D205" s="155" t="s">
        <v>269</v>
      </c>
      <c r="E205" s="155" t="s">
        <v>269</v>
      </c>
      <c r="F205" s="155" t="s">
        <v>269</v>
      </c>
      <c r="G205" s="155" t="s">
        <v>269</v>
      </c>
      <c r="H205" s="157" t="s">
        <v>269</v>
      </c>
    </row>
    <row r="206" spans="1:8" ht="16.5">
      <c r="A206" s="134"/>
      <c r="B206" s="156" t="s">
        <v>269</v>
      </c>
      <c r="C206" s="154" t="s">
        <v>269</v>
      </c>
      <c r="D206" s="155" t="s">
        <v>269</v>
      </c>
      <c r="E206" s="155" t="s">
        <v>269</v>
      </c>
      <c r="F206" s="155" t="s">
        <v>269</v>
      </c>
      <c r="G206" s="155" t="s">
        <v>269</v>
      </c>
      <c r="H206" s="157" t="s">
        <v>269</v>
      </c>
    </row>
    <row r="207" spans="1:8" ht="16.5">
      <c r="A207" s="134"/>
      <c r="B207" s="156" t="s">
        <v>269</v>
      </c>
      <c r="C207" s="154" t="s">
        <v>269</v>
      </c>
      <c r="D207" s="155" t="s">
        <v>269</v>
      </c>
      <c r="E207" s="155" t="s">
        <v>269</v>
      </c>
      <c r="F207" s="155" t="s">
        <v>269</v>
      </c>
      <c r="G207" s="155" t="s">
        <v>269</v>
      </c>
      <c r="H207" s="157" t="s">
        <v>269</v>
      </c>
    </row>
    <row r="208" spans="1:8" ht="16.5">
      <c r="A208" s="134"/>
      <c r="B208" s="156" t="s">
        <v>269</v>
      </c>
      <c r="C208" s="154" t="s">
        <v>269</v>
      </c>
      <c r="D208" s="155" t="s">
        <v>269</v>
      </c>
      <c r="E208" s="155" t="s">
        <v>269</v>
      </c>
      <c r="F208" s="155" t="s">
        <v>269</v>
      </c>
      <c r="G208" s="155" t="s">
        <v>269</v>
      </c>
      <c r="H208" s="157" t="s">
        <v>269</v>
      </c>
    </row>
    <row r="209" spans="1:8" ht="16.5">
      <c r="A209" s="134"/>
      <c r="B209" s="156" t="s">
        <v>269</v>
      </c>
      <c r="C209" s="154" t="s">
        <v>269</v>
      </c>
      <c r="D209" s="155" t="s">
        <v>269</v>
      </c>
      <c r="E209" s="155" t="s">
        <v>269</v>
      </c>
      <c r="F209" s="155" t="s">
        <v>269</v>
      </c>
      <c r="G209" s="155" t="s">
        <v>269</v>
      </c>
      <c r="H209" s="157" t="s">
        <v>269</v>
      </c>
    </row>
    <row r="210" spans="1:8" ht="16.5">
      <c r="A210" s="134"/>
      <c r="B210" s="156" t="s">
        <v>269</v>
      </c>
      <c r="C210" s="154" t="s">
        <v>269</v>
      </c>
      <c r="D210" s="155" t="s">
        <v>269</v>
      </c>
      <c r="E210" s="155" t="s">
        <v>269</v>
      </c>
      <c r="F210" s="155" t="s">
        <v>269</v>
      </c>
      <c r="G210" s="155" t="s">
        <v>269</v>
      </c>
      <c r="H210" s="157" t="s">
        <v>269</v>
      </c>
    </row>
    <row r="211" spans="1:8" ht="16.5">
      <c r="A211" s="134"/>
      <c r="B211" s="156" t="s">
        <v>269</v>
      </c>
      <c r="C211" s="154" t="s">
        <v>269</v>
      </c>
      <c r="D211" s="155" t="s">
        <v>269</v>
      </c>
      <c r="E211" s="155" t="s">
        <v>269</v>
      </c>
      <c r="F211" s="155" t="s">
        <v>269</v>
      </c>
      <c r="G211" s="155" t="s">
        <v>269</v>
      </c>
      <c r="H211" s="157" t="s">
        <v>269</v>
      </c>
    </row>
    <row r="212" spans="1:8" ht="16.5">
      <c r="A212" s="134"/>
      <c r="B212" s="156" t="s">
        <v>269</v>
      </c>
      <c r="C212" s="154" t="s">
        <v>269</v>
      </c>
      <c r="D212" s="155" t="s">
        <v>269</v>
      </c>
      <c r="E212" s="155" t="s">
        <v>269</v>
      </c>
      <c r="F212" s="155" t="s">
        <v>269</v>
      </c>
      <c r="G212" s="155" t="s">
        <v>269</v>
      </c>
      <c r="H212" s="157" t="s">
        <v>269</v>
      </c>
    </row>
    <row r="213" spans="1:8" ht="16.5">
      <c r="A213" s="134"/>
      <c r="B213" s="156" t="s">
        <v>269</v>
      </c>
      <c r="C213" s="154" t="s">
        <v>269</v>
      </c>
      <c r="D213" s="155" t="s">
        <v>269</v>
      </c>
      <c r="E213" s="155" t="s">
        <v>269</v>
      </c>
      <c r="F213" s="155" t="s">
        <v>269</v>
      </c>
      <c r="G213" s="155" t="s">
        <v>269</v>
      </c>
      <c r="H213" s="157" t="s">
        <v>269</v>
      </c>
    </row>
    <row r="214" spans="1:8" ht="16.5">
      <c r="A214" s="134"/>
      <c r="B214" s="156" t="s">
        <v>269</v>
      </c>
      <c r="C214" s="154" t="s">
        <v>269</v>
      </c>
      <c r="D214" s="155" t="s">
        <v>269</v>
      </c>
      <c r="E214" s="155" t="s">
        <v>269</v>
      </c>
      <c r="F214" s="155" t="s">
        <v>269</v>
      </c>
      <c r="G214" s="155" t="s">
        <v>269</v>
      </c>
      <c r="H214" s="157" t="s">
        <v>269</v>
      </c>
    </row>
    <row r="215" spans="1:8" ht="16.5">
      <c r="A215" s="134"/>
      <c r="B215" s="156" t="s">
        <v>269</v>
      </c>
      <c r="C215" s="154" t="s">
        <v>269</v>
      </c>
      <c r="D215" s="155" t="s">
        <v>269</v>
      </c>
      <c r="E215" s="155" t="s">
        <v>269</v>
      </c>
      <c r="F215" s="155" t="s">
        <v>269</v>
      </c>
      <c r="G215" s="155" t="s">
        <v>269</v>
      </c>
      <c r="H215" s="157" t="s">
        <v>269</v>
      </c>
    </row>
    <row r="216" spans="1:8" ht="16.5">
      <c r="A216" s="134"/>
      <c r="B216" s="156" t="s">
        <v>269</v>
      </c>
      <c r="C216" s="154" t="s">
        <v>269</v>
      </c>
      <c r="D216" s="155" t="s">
        <v>269</v>
      </c>
      <c r="E216" s="155" t="s">
        <v>269</v>
      </c>
      <c r="F216" s="155" t="s">
        <v>269</v>
      </c>
      <c r="G216" s="155" t="s">
        <v>269</v>
      </c>
      <c r="H216" s="157" t="s">
        <v>269</v>
      </c>
    </row>
    <row r="217" spans="1:8" ht="16.5">
      <c r="A217" s="134"/>
      <c r="B217" s="156" t="s">
        <v>269</v>
      </c>
      <c r="C217" s="154" t="s">
        <v>269</v>
      </c>
      <c r="D217" s="155" t="s">
        <v>269</v>
      </c>
      <c r="E217" s="155" t="s">
        <v>269</v>
      </c>
      <c r="F217" s="155" t="s">
        <v>269</v>
      </c>
      <c r="G217" s="155" t="s">
        <v>269</v>
      </c>
      <c r="H217" s="157" t="s">
        <v>269</v>
      </c>
    </row>
    <row r="218" spans="1:8" ht="16.5">
      <c r="A218" s="134"/>
      <c r="B218" s="156" t="s">
        <v>269</v>
      </c>
      <c r="C218" s="154" t="s">
        <v>269</v>
      </c>
      <c r="D218" s="155" t="s">
        <v>269</v>
      </c>
      <c r="E218" s="155" t="s">
        <v>269</v>
      </c>
      <c r="F218" s="155" t="s">
        <v>269</v>
      </c>
      <c r="G218" s="155" t="s">
        <v>269</v>
      </c>
      <c r="H218" s="157" t="s">
        <v>269</v>
      </c>
    </row>
    <row r="219" spans="1:8" ht="16.5">
      <c r="A219" s="134"/>
      <c r="B219" s="156" t="s">
        <v>269</v>
      </c>
      <c r="C219" s="154" t="s">
        <v>269</v>
      </c>
      <c r="D219" s="155" t="s">
        <v>269</v>
      </c>
      <c r="E219" s="155" t="s">
        <v>269</v>
      </c>
      <c r="F219" s="155" t="s">
        <v>269</v>
      </c>
      <c r="G219" s="155" t="s">
        <v>269</v>
      </c>
      <c r="H219" s="157" t="s">
        <v>269</v>
      </c>
    </row>
    <row r="220" spans="1:8" ht="16.5">
      <c r="A220" s="134"/>
      <c r="B220" s="156" t="s">
        <v>269</v>
      </c>
      <c r="C220" s="154" t="s">
        <v>269</v>
      </c>
      <c r="D220" s="155" t="s">
        <v>269</v>
      </c>
      <c r="E220" s="155" t="s">
        <v>269</v>
      </c>
      <c r="F220" s="155" t="s">
        <v>269</v>
      </c>
      <c r="G220" s="155" t="s">
        <v>269</v>
      </c>
      <c r="H220" s="157" t="s">
        <v>269</v>
      </c>
    </row>
    <row r="221" spans="1:8" ht="16.5">
      <c r="A221" s="134"/>
      <c r="B221" s="156" t="s">
        <v>269</v>
      </c>
      <c r="C221" s="154" t="s">
        <v>269</v>
      </c>
      <c r="D221" s="155" t="s">
        <v>269</v>
      </c>
      <c r="E221" s="155" t="s">
        <v>269</v>
      </c>
      <c r="F221" s="155" t="s">
        <v>269</v>
      </c>
      <c r="G221" s="155" t="s">
        <v>269</v>
      </c>
      <c r="H221" s="157" t="s">
        <v>269</v>
      </c>
    </row>
    <row r="222" spans="1:8" ht="16.5">
      <c r="A222" s="134"/>
      <c r="B222" s="156" t="s">
        <v>269</v>
      </c>
      <c r="C222" s="154" t="s">
        <v>269</v>
      </c>
      <c r="D222" s="155" t="s">
        <v>269</v>
      </c>
      <c r="E222" s="155" t="s">
        <v>269</v>
      </c>
      <c r="F222" s="155" t="s">
        <v>269</v>
      </c>
      <c r="G222" s="155" t="s">
        <v>269</v>
      </c>
      <c r="H222" s="157" t="s">
        <v>269</v>
      </c>
    </row>
    <row r="223" spans="1:8" ht="16.5">
      <c r="A223" s="134"/>
      <c r="B223" s="156" t="s">
        <v>269</v>
      </c>
      <c r="C223" s="154" t="s">
        <v>269</v>
      </c>
      <c r="D223" s="155" t="s">
        <v>269</v>
      </c>
      <c r="E223" s="155" t="s">
        <v>269</v>
      </c>
      <c r="F223" s="155" t="s">
        <v>269</v>
      </c>
      <c r="G223" s="155" t="s">
        <v>269</v>
      </c>
      <c r="H223" s="157" t="s">
        <v>269</v>
      </c>
    </row>
    <row r="224" spans="1:8" ht="16.5">
      <c r="A224" s="134"/>
      <c r="B224" s="156" t="s">
        <v>269</v>
      </c>
      <c r="C224" s="154" t="s">
        <v>269</v>
      </c>
      <c r="D224" s="155" t="s">
        <v>269</v>
      </c>
      <c r="E224" s="155" t="s">
        <v>269</v>
      </c>
      <c r="F224" s="155" t="s">
        <v>269</v>
      </c>
      <c r="G224" s="155" t="s">
        <v>269</v>
      </c>
      <c r="H224" s="157" t="s">
        <v>269</v>
      </c>
    </row>
    <row r="225" spans="1:8" ht="16.5">
      <c r="A225" s="134"/>
      <c r="B225" s="156" t="s">
        <v>269</v>
      </c>
      <c r="C225" s="154" t="s">
        <v>269</v>
      </c>
      <c r="D225" s="155" t="s">
        <v>269</v>
      </c>
      <c r="E225" s="155" t="s">
        <v>269</v>
      </c>
      <c r="F225" s="155" t="s">
        <v>269</v>
      </c>
      <c r="G225" s="155" t="s">
        <v>269</v>
      </c>
      <c r="H225" s="157" t="s">
        <v>269</v>
      </c>
    </row>
    <row r="226" spans="1:8" ht="16.5">
      <c r="A226" s="134"/>
      <c r="B226" s="156" t="s">
        <v>269</v>
      </c>
      <c r="C226" s="154" t="s">
        <v>269</v>
      </c>
      <c r="D226" s="155" t="s">
        <v>269</v>
      </c>
      <c r="E226" s="155" t="s">
        <v>269</v>
      </c>
      <c r="F226" s="155" t="s">
        <v>269</v>
      </c>
      <c r="G226" s="155" t="s">
        <v>269</v>
      </c>
      <c r="H226" s="157" t="s">
        <v>269</v>
      </c>
    </row>
    <row r="227" spans="1:8" ht="16.5">
      <c r="A227" s="134"/>
      <c r="B227" s="156" t="s">
        <v>269</v>
      </c>
      <c r="C227" s="154" t="s">
        <v>269</v>
      </c>
      <c r="D227" s="155" t="s">
        <v>269</v>
      </c>
      <c r="E227" s="155" t="s">
        <v>269</v>
      </c>
      <c r="F227" s="155" t="s">
        <v>269</v>
      </c>
      <c r="G227" s="155" t="s">
        <v>269</v>
      </c>
      <c r="H227" s="157" t="s">
        <v>269</v>
      </c>
    </row>
    <row r="228" spans="1:8" ht="16.5">
      <c r="A228" s="134"/>
      <c r="B228" s="156" t="s">
        <v>269</v>
      </c>
      <c r="C228" s="154" t="s">
        <v>269</v>
      </c>
      <c r="D228" s="155" t="s">
        <v>269</v>
      </c>
      <c r="E228" s="155" t="s">
        <v>269</v>
      </c>
      <c r="F228" s="155" t="s">
        <v>269</v>
      </c>
      <c r="G228" s="155" t="s">
        <v>269</v>
      </c>
      <c r="H228" s="157" t="s">
        <v>269</v>
      </c>
    </row>
    <row r="229" spans="1:8" ht="16.5">
      <c r="A229" s="134"/>
      <c r="B229" s="156" t="s">
        <v>269</v>
      </c>
      <c r="C229" s="154" t="s">
        <v>269</v>
      </c>
      <c r="D229" s="155" t="s">
        <v>269</v>
      </c>
      <c r="E229" s="155" t="s">
        <v>269</v>
      </c>
      <c r="F229" s="155" t="s">
        <v>269</v>
      </c>
      <c r="G229" s="155" t="s">
        <v>269</v>
      </c>
      <c r="H229" s="157" t="s">
        <v>269</v>
      </c>
    </row>
    <row r="230" spans="1:8" ht="16.5">
      <c r="A230" s="134"/>
      <c r="B230" s="156" t="s">
        <v>269</v>
      </c>
      <c r="C230" s="154" t="s">
        <v>269</v>
      </c>
      <c r="D230" s="155" t="s">
        <v>269</v>
      </c>
      <c r="E230" s="155" t="s">
        <v>269</v>
      </c>
      <c r="F230" s="155" t="s">
        <v>269</v>
      </c>
      <c r="G230" s="155" t="s">
        <v>269</v>
      </c>
      <c r="H230" s="157" t="s">
        <v>269</v>
      </c>
    </row>
    <row r="231" spans="1:8" ht="16.5">
      <c r="A231" s="134"/>
      <c r="B231" s="156" t="s">
        <v>269</v>
      </c>
      <c r="C231" s="154" t="s">
        <v>269</v>
      </c>
      <c r="D231" s="155" t="s">
        <v>269</v>
      </c>
      <c r="E231" s="155" t="s">
        <v>269</v>
      </c>
      <c r="F231" s="155" t="s">
        <v>269</v>
      </c>
      <c r="G231" s="155" t="s">
        <v>269</v>
      </c>
      <c r="H231" s="157" t="s">
        <v>269</v>
      </c>
    </row>
    <row r="232" spans="1:8" ht="16.5">
      <c r="A232" s="134"/>
      <c r="B232" s="156" t="s">
        <v>269</v>
      </c>
      <c r="C232" s="154" t="s">
        <v>269</v>
      </c>
      <c r="D232" s="155" t="s">
        <v>269</v>
      </c>
      <c r="E232" s="155" t="s">
        <v>269</v>
      </c>
      <c r="F232" s="155" t="s">
        <v>269</v>
      </c>
      <c r="G232" s="155" t="s">
        <v>269</v>
      </c>
      <c r="H232" s="157" t="s">
        <v>269</v>
      </c>
    </row>
    <row r="233" spans="1:8" ht="16.5">
      <c r="A233" s="134"/>
      <c r="B233" s="156" t="s">
        <v>269</v>
      </c>
      <c r="C233" s="154" t="s">
        <v>269</v>
      </c>
      <c r="D233" s="155" t="s">
        <v>269</v>
      </c>
      <c r="E233" s="155" t="s">
        <v>269</v>
      </c>
      <c r="F233" s="155" t="s">
        <v>269</v>
      </c>
      <c r="G233" s="155" t="s">
        <v>269</v>
      </c>
      <c r="H233" s="157" t="s">
        <v>269</v>
      </c>
    </row>
    <row r="234" spans="1:8" ht="16.5">
      <c r="A234" s="134"/>
      <c r="B234" s="156" t="s">
        <v>269</v>
      </c>
      <c r="C234" s="154" t="s">
        <v>269</v>
      </c>
      <c r="D234" s="155" t="s">
        <v>269</v>
      </c>
      <c r="E234" s="155" t="s">
        <v>269</v>
      </c>
      <c r="F234" s="155" t="s">
        <v>269</v>
      </c>
      <c r="G234" s="155" t="s">
        <v>269</v>
      </c>
      <c r="H234" s="157" t="s">
        <v>269</v>
      </c>
    </row>
    <row r="235" spans="1:8" ht="16.5">
      <c r="A235" s="134"/>
      <c r="B235" s="156" t="s">
        <v>269</v>
      </c>
      <c r="C235" s="154" t="s">
        <v>269</v>
      </c>
      <c r="D235" s="155" t="s">
        <v>269</v>
      </c>
      <c r="E235" s="155" t="s">
        <v>269</v>
      </c>
      <c r="F235" s="155" t="s">
        <v>269</v>
      </c>
      <c r="G235" s="155" t="s">
        <v>269</v>
      </c>
      <c r="H235" s="157" t="s">
        <v>269</v>
      </c>
    </row>
    <row r="236" spans="1:8" ht="16.5">
      <c r="A236" s="134"/>
      <c r="B236" s="156" t="s">
        <v>269</v>
      </c>
      <c r="C236" s="154" t="s">
        <v>269</v>
      </c>
      <c r="D236" s="155" t="s">
        <v>269</v>
      </c>
      <c r="E236" s="155" t="s">
        <v>269</v>
      </c>
      <c r="F236" s="155" t="s">
        <v>269</v>
      </c>
      <c r="G236" s="155" t="s">
        <v>269</v>
      </c>
      <c r="H236" s="157" t="s">
        <v>269</v>
      </c>
    </row>
    <row r="237" spans="1:8" ht="16.5">
      <c r="A237" s="134"/>
      <c r="B237" s="156" t="s">
        <v>269</v>
      </c>
      <c r="C237" s="154" t="s">
        <v>269</v>
      </c>
      <c r="D237" s="155" t="s">
        <v>269</v>
      </c>
      <c r="E237" s="155" t="s">
        <v>269</v>
      </c>
      <c r="F237" s="155" t="s">
        <v>269</v>
      </c>
      <c r="G237" s="155" t="s">
        <v>269</v>
      </c>
      <c r="H237" s="157" t="s">
        <v>269</v>
      </c>
    </row>
    <row r="238" spans="1:8" ht="16.5">
      <c r="A238" s="134"/>
      <c r="B238" s="156" t="s">
        <v>269</v>
      </c>
      <c r="C238" s="154" t="s">
        <v>269</v>
      </c>
      <c r="D238" s="155" t="s">
        <v>269</v>
      </c>
      <c r="E238" s="155" t="s">
        <v>269</v>
      </c>
      <c r="F238" s="155" t="s">
        <v>269</v>
      </c>
      <c r="G238" s="155" t="s">
        <v>269</v>
      </c>
      <c r="H238" s="157" t="s">
        <v>269</v>
      </c>
    </row>
    <row r="239" spans="1:8" ht="16.5">
      <c r="A239" s="134"/>
      <c r="B239" s="156" t="s">
        <v>269</v>
      </c>
      <c r="C239" s="154" t="s">
        <v>269</v>
      </c>
      <c r="D239" s="155" t="s">
        <v>269</v>
      </c>
      <c r="E239" s="155" t="s">
        <v>269</v>
      </c>
      <c r="F239" s="155" t="s">
        <v>269</v>
      </c>
      <c r="G239" s="155" t="s">
        <v>269</v>
      </c>
      <c r="H239" s="157" t="s">
        <v>269</v>
      </c>
    </row>
    <row r="240" spans="1:8" ht="16.5">
      <c r="A240" s="134"/>
      <c r="B240" s="156" t="s">
        <v>269</v>
      </c>
      <c r="C240" s="154" t="s">
        <v>269</v>
      </c>
      <c r="D240" s="155" t="s">
        <v>269</v>
      </c>
      <c r="E240" s="155" t="s">
        <v>269</v>
      </c>
      <c r="F240" s="155" t="s">
        <v>269</v>
      </c>
      <c r="G240" s="155" t="s">
        <v>269</v>
      </c>
      <c r="H240" s="157" t="s">
        <v>269</v>
      </c>
    </row>
    <row r="241" spans="1:8" ht="16.5">
      <c r="A241" s="134"/>
      <c r="B241" s="156" t="s">
        <v>269</v>
      </c>
      <c r="C241" s="154" t="s">
        <v>269</v>
      </c>
      <c r="D241" s="155" t="s">
        <v>269</v>
      </c>
      <c r="E241" s="155" t="s">
        <v>269</v>
      </c>
      <c r="F241" s="155" t="s">
        <v>269</v>
      </c>
      <c r="G241" s="155" t="s">
        <v>269</v>
      </c>
      <c r="H241" s="157" t="s">
        <v>269</v>
      </c>
    </row>
    <row r="242" spans="1:8" ht="16.5">
      <c r="A242" s="134"/>
      <c r="B242" s="156" t="s">
        <v>269</v>
      </c>
      <c r="C242" s="154" t="s">
        <v>269</v>
      </c>
      <c r="D242" s="155" t="s">
        <v>269</v>
      </c>
      <c r="E242" s="155" t="s">
        <v>269</v>
      </c>
      <c r="F242" s="155" t="s">
        <v>269</v>
      </c>
      <c r="G242" s="155" t="s">
        <v>269</v>
      </c>
      <c r="H242" s="157" t="s">
        <v>269</v>
      </c>
    </row>
    <row r="243" spans="1:8" ht="16.5">
      <c r="A243" s="134"/>
      <c r="B243" s="156" t="s">
        <v>269</v>
      </c>
      <c r="C243" s="154" t="s">
        <v>269</v>
      </c>
      <c r="D243" s="155" t="s">
        <v>269</v>
      </c>
      <c r="E243" s="155" t="s">
        <v>269</v>
      </c>
      <c r="F243" s="155" t="s">
        <v>269</v>
      </c>
      <c r="G243" s="155" t="s">
        <v>269</v>
      </c>
      <c r="H243" s="157" t="s">
        <v>269</v>
      </c>
    </row>
    <row r="244" spans="1:8" ht="16.5">
      <c r="A244" s="134"/>
      <c r="B244" s="156" t="s">
        <v>269</v>
      </c>
      <c r="C244" s="154" t="s">
        <v>269</v>
      </c>
      <c r="D244" s="155" t="s">
        <v>269</v>
      </c>
      <c r="E244" s="155" t="s">
        <v>269</v>
      </c>
      <c r="F244" s="155" t="s">
        <v>269</v>
      </c>
      <c r="G244" s="155" t="s">
        <v>269</v>
      </c>
      <c r="H244" s="157" t="s">
        <v>269</v>
      </c>
    </row>
    <row r="245" spans="1:8" ht="16.5">
      <c r="A245" s="134"/>
      <c r="B245" s="156" t="s">
        <v>269</v>
      </c>
      <c r="C245" s="154" t="s">
        <v>269</v>
      </c>
      <c r="D245" s="155" t="s">
        <v>269</v>
      </c>
      <c r="E245" s="155" t="s">
        <v>269</v>
      </c>
      <c r="F245" s="155" t="s">
        <v>269</v>
      </c>
      <c r="G245" s="155" t="s">
        <v>269</v>
      </c>
      <c r="H245" s="157" t="s">
        <v>269</v>
      </c>
    </row>
    <row r="246" spans="1:8" ht="16.5">
      <c r="A246" s="134"/>
      <c r="B246" s="156" t="s">
        <v>269</v>
      </c>
      <c r="C246" s="154" t="s">
        <v>269</v>
      </c>
      <c r="D246" s="155" t="s">
        <v>269</v>
      </c>
      <c r="E246" s="155" t="s">
        <v>269</v>
      </c>
      <c r="F246" s="155" t="s">
        <v>269</v>
      </c>
      <c r="G246" s="155" t="s">
        <v>269</v>
      </c>
      <c r="H246" s="157" t="s">
        <v>269</v>
      </c>
    </row>
    <row r="247" spans="1:8" ht="16.5">
      <c r="A247" s="134"/>
      <c r="B247" s="156" t="s">
        <v>269</v>
      </c>
      <c r="C247" s="154" t="s">
        <v>269</v>
      </c>
      <c r="D247" s="155" t="s">
        <v>269</v>
      </c>
      <c r="E247" s="155" t="s">
        <v>269</v>
      </c>
      <c r="F247" s="155" t="s">
        <v>269</v>
      </c>
      <c r="G247" s="155" t="s">
        <v>269</v>
      </c>
      <c r="H247" s="157" t="s">
        <v>269</v>
      </c>
    </row>
    <row r="248" spans="1:8" ht="16.5">
      <c r="A248" s="134"/>
      <c r="B248" s="156" t="s">
        <v>269</v>
      </c>
      <c r="C248" s="154" t="s">
        <v>269</v>
      </c>
      <c r="D248" s="155" t="s">
        <v>269</v>
      </c>
      <c r="E248" s="155" t="s">
        <v>269</v>
      </c>
      <c r="F248" s="155" t="s">
        <v>269</v>
      </c>
      <c r="G248" s="155" t="s">
        <v>269</v>
      </c>
      <c r="H248" s="157" t="s">
        <v>269</v>
      </c>
    </row>
    <row r="249" spans="1:8" ht="16.5">
      <c r="A249" s="134"/>
      <c r="B249" s="156" t="s">
        <v>269</v>
      </c>
      <c r="C249" s="154" t="s">
        <v>269</v>
      </c>
      <c r="D249" s="155" t="s">
        <v>269</v>
      </c>
      <c r="E249" s="155" t="s">
        <v>269</v>
      </c>
      <c r="F249" s="155" t="s">
        <v>269</v>
      </c>
      <c r="G249" s="155" t="s">
        <v>269</v>
      </c>
      <c r="H249" s="157" t="s">
        <v>269</v>
      </c>
    </row>
    <row r="250" spans="1:8" ht="16.5">
      <c r="A250" s="134"/>
      <c r="B250" s="156" t="s">
        <v>269</v>
      </c>
      <c r="C250" s="154" t="s">
        <v>269</v>
      </c>
      <c r="D250" s="155" t="s">
        <v>269</v>
      </c>
      <c r="E250" s="155" t="s">
        <v>269</v>
      </c>
      <c r="F250" s="155" t="s">
        <v>269</v>
      </c>
      <c r="G250" s="155" t="s">
        <v>269</v>
      </c>
      <c r="H250" s="157" t="s">
        <v>269</v>
      </c>
    </row>
    <row r="251" spans="1:8" ht="16.5">
      <c r="A251" s="134"/>
      <c r="B251" s="156" t="s">
        <v>269</v>
      </c>
      <c r="C251" s="154" t="s">
        <v>269</v>
      </c>
      <c r="D251" s="155" t="s">
        <v>269</v>
      </c>
      <c r="E251" s="155" t="s">
        <v>269</v>
      </c>
      <c r="F251" s="155" t="s">
        <v>269</v>
      </c>
      <c r="G251" s="155" t="s">
        <v>269</v>
      </c>
      <c r="H251" s="157" t="s">
        <v>269</v>
      </c>
    </row>
    <row r="252" spans="1:8" ht="16.5">
      <c r="A252" s="134"/>
      <c r="B252" s="156" t="s">
        <v>269</v>
      </c>
      <c r="C252" s="154" t="s">
        <v>269</v>
      </c>
      <c r="D252" s="155" t="s">
        <v>269</v>
      </c>
      <c r="E252" s="155" t="s">
        <v>269</v>
      </c>
      <c r="F252" s="155" t="s">
        <v>269</v>
      </c>
      <c r="G252" s="155" t="s">
        <v>269</v>
      </c>
      <c r="H252" s="157" t="s">
        <v>269</v>
      </c>
    </row>
    <row r="253" spans="1:8" ht="16.5">
      <c r="A253" s="134"/>
      <c r="B253" s="156" t="s">
        <v>269</v>
      </c>
      <c r="C253" s="154" t="s">
        <v>269</v>
      </c>
      <c r="D253" s="155" t="s">
        <v>269</v>
      </c>
      <c r="E253" s="155" t="s">
        <v>269</v>
      </c>
      <c r="F253" s="155" t="s">
        <v>269</v>
      </c>
      <c r="G253" s="155" t="s">
        <v>269</v>
      </c>
      <c r="H253" s="157" t="s">
        <v>269</v>
      </c>
    </row>
    <row r="254" spans="1:8" ht="16.5">
      <c r="A254" s="134"/>
      <c r="B254" s="156" t="s">
        <v>269</v>
      </c>
      <c r="C254" s="154" t="s">
        <v>269</v>
      </c>
      <c r="D254" s="155" t="s">
        <v>269</v>
      </c>
      <c r="E254" s="155" t="s">
        <v>269</v>
      </c>
      <c r="F254" s="155" t="s">
        <v>269</v>
      </c>
      <c r="G254" s="155" t="s">
        <v>269</v>
      </c>
      <c r="H254" s="157" t="s">
        <v>269</v>
      </c>
    </row>
    <row r="255" spans="1:8" ht="16.5">
      <c r="A255" s="134"/>
      <c r="B255" s="156" t="s">
        <v>269</v>
      </c>
      <c r="C255" s="154" t="s">
        <v>269</v>
      </c>
      <c r="D255" s="155" t="s">
        <v>269</v>
      </c>
      <c r="E255" s="155" t="s">
        <v>269</v>
      </c>
      <c r="F255" s="155" t="s">
        <v>269</v>
      </c>
      <c r="G255" s="155" t="s">
        <v>269</v>
      </c>
      <c r="H255" s="157" t="s">
        <v>269</v>
      </c>
    </row>
    <row r="256" spans="1:8" ht="16.5">
      <c r="A256" s="134"/>
      <c r="B256" s="156" t="s">
        <v>269</v>
      </c>
      <c r="C256" s="154" t="s">
        <v>269</v>
      </c>
      <c r="D256" s="155" t="s">
        <v>269</v>
      </c>
      <c r="E256" s="155" t="s">
        <v>269</v>
      </c>
      <c r="F256" s="155" t="s">
        <v>269</v>
      </c>
      <c r="G256" s="155" t="s">
        <v>269</v>
      </c>
      <c r="H256" s="157" t="s">
        <v>269</v>
      </c>
    </row>
    <row r="257" spans="1:8" ht="16.5">
      <c r="A257" s="134"/>
      <c r="B257" s="156" t="s">
        <v>269</v>
      </c>
      <c r="C257" s="154" t="s">
        <v>269</v>
      </c>
      <c r="D257" s="155" t="s">
        <v>269</v>
      </c>
      <c r="E257" s="155" t="s">
        <v>269</v>
      </c>
      <c r="F257" s="155" t="s">
        <v>269</v>
      </c>
      <c r="G257" s="155" t="s">
        <v>269</v>
      </c>
      <c r="H257" s="157" t="s">
        <v>269</v>
      </c>
    </row>
    <row r="258" spans="1:8" ht="16.5">
      <c r="A258" s="134"/>
      <c r="B258" s="156" t="s">
        <v>269</v>
      </c>
      <c r="C258" s="154" t="s">
        <v>269</v>
      </c>
      <c r="D258" s="155" t="s">
        <v>269</v>
      </c>
      <c r="E258" s="155" t="s">
        <v>269</v>
      </c>
      <c r="F258" s="155" t="s">
        <v>269</v>
      </c>
      <c r="G258" s="155" t="s">
        <v>269</v>
      </c>
      <c r="H258" s="157" t="s">
        <v>269</v>
      </c>
    </row>
    <row r="259" spans="1:8" ht="16.5">
      <c r="A259" s="134"/>
      <c r="B259" s="156" t="s">
        <v>269</v>
      </c>
      <c r="C259" s="154" t="s">
        <v>269</v>
      </c>
      <c r="D259" s="155" t="s">
        <v>269</v>
      </c>
      <c r="E259" s="155" t="s">
        <v>269</v>
      </c>
      <c r="F259" s="155" t="s">
        <v>269</v>
      </c>
      <c r="G259" s="155" t="s">
        <v>269</v>
      </c>
      <c r="H259" s="157" t="s">
        <v>269</v>
      </c>
    </row>
    <row r="260" spans="1:8" ht="16.5">
      <c r="A260" s="134"/>
      <c r="B260" s="156" t="s">
        <v>269</v>
      </c>
      <c r="C260" s="154" t="s">
        <v>269</v>
      </c>
      <c r="D260" s="155" t="s">
        <v>269</v>
      </c>
      <c r="E260" s="155" t="s">
        <v>269</v>
      </c>
      <c r="F260" s="155" t="s">
        <v>269</v>
      </c>
      <c r="G260" s="155" t="s">
        <v>269</v>
      </c>
      <c r="H260" s="157" t="s">
        <v>269</v>
      </c>
    </row>
    <row r="261" spans="1:8" ht="16.5">
      <c r="A261" s="134"/>
      <c r="B261" s="156" t="s">
        <v>269</v>
      </c>
      <c r="C261" s="154" t="s">
        <v>269</v>
      </c>
      <c r="D261" s="155" t="s">
        <v>269</v>
      </c>
      <c r="E261" s="155" t="s">
        <v>269</v>
      </c>
      <c r="F261" s="155" t="s">
        <v>269</v>
      </c>
      <c r="G261" s="155" t="s">
        <v>269</v>
      </c>
      <c r="H261" s="157" t="s">
        <v>269</v>
      </c>
    </row>
    <row r="262" spans="1:8" ht="16.5">
      <c r="A262" s="134"/>
      <c r="B262" s="156" t="s">
        <v>269</v>
      </c>
      <c r="C262" s="154" t="s">
        <v>269</v>
      </c>
      <c r="D262" s="155" t="s">
        <v>269</v>
      </c>
      <c r="E262" s="155" t="s">
        <v>269</v>
      </c>
      <c r="F262" s="155" t="s">
        <v>269</v>
      </c>
      <c r="G262" s="155" t="s">
        <v>269</v>
      </c>
      <c r="H262" s="157" t="s">
        <v>269</v>
      </c>
    </row>
    <row r="263" spans="1:8" ht="16.5">
      <c r="A263" s="134"/>
      <c r="B263" s="156" t="s">
        <v>269</v>
      </c>
      <c r="C263" s="154" t="s">
        <v>269</v>
      </c>
      <c r="D263" s="155" t="s">
        <v>269</v>
      </c>
      <c r="E263" s="155" t="s">
        <v>269</v>
      </c>
      <c r="F263" s="155" t="s">
        <v>269</v>
      </c>
      <c r="G263" s="155" t="s">
        <v>269</v>
      </c>
      <c r="H263" s="157" t="s">
        <v>269</v>
      </c>
    </row>
    <row r="264" spans="1:8" ht="16.5">
      <c r="A264" s="134"/>
      <c r="B264" s="156" t="s">
        <v>269</v>
      </c>
      <c r="C264" s="154" t="s">
        <v>269</v>
      </c>
      <c r="D264" s="155" t="s">
        <v>269</v>
      </c>
      <c r="E264" s="155" t="s">
        <v>269</v>
      </c>
      <c r="F264" s="155" t="s">
        <v>269</v>
      </c>
      <c r="G264" s="155" t="s">
        <v>269</v>
      </c>
      <c r="H264" s="157" t="s">
        <v>269</v>
      </c>
    </row>
    <row r="265" spans="1:8" ht="16.5">
      <c r="A265" s="134"/>
      <c r="B265" s="156" t="s">
        <v>269</v>
      </c>
      <c r="C265" s="154" t="s">
        <v>269</v>
      </c>
      <c r="D265" s="155" t="s">
        <v>269</v>
      </c>
      <c r="E265" s="155" t="s">
        <v>269</v>
      </c>
      <c r="F265" s="155" t="s">
        <v>269</v>
      </c>
      <c r="G265" s="155" t="s">
        <v>269</v>
      </c>
      <c r="H265" s="157" t="s">
        <v>269</v>
      </c>
    </row>
    <row r="266" spans="1:8" ht="16.5">
      <c r="A266" s="134"/>
      <c r="B266" s="156" t="s">
        <v>269</v>
      </c>
      <c r="C266" s="154" t="s">
        <v>269</v>
      </c>
      <c r="D266" s="155" t="s">
        <v>269</v>
      </c>
      <c r="E266" s="155" t="s">
        <v>269</v>
      </c>
      <c r="F266" s="155" t="s">
        <v>269</v>
      </c>
      <c r="G266" s="155" t="s">
        <v>269</v>
      </c>
      <c r="H266" s="157" t="s">
        <v>269</v>
      </c>
    </row>
    <row r="267" spans="1:8" ht="16.5">
      <c r="A267" s="134"/>
      <c r="B267" s="156" t="s">
        <v>269</v>
      </c>
      <c r="C267" s="154" t="s">
        <v>269</v>
      </c>
      <c r="D267" s="155" t="s">
        <v>269</v>
      </c>
      <c r="E267" s="155" t="s">
        <v>269</v>
      </c>
      <c r="F267" s="155" t="s">
        <v>269</v>
      </c>
      <c r="G267" s="155" t="s">
        <v>269</v>
      </c>
      <c r="H267" s="157" t="s">
        <v>269</v>
      </c>
    </row>
    <row r="268" spans="1:8" ht="16.5">
      <c r="A268" s="134"/>
      <c r="B268" s="156" t="s">
        <v>269</v>
      </c>
      <c r="C268" s="154" t="s">
        <v>269</v>
      </c>
      <c r="D268" s="155" t="s">
        <v>269</v>
      </c>
      <c r="E268" s="155" t="s">
        <v>269</v>
      </c>
      <c r="F268" s="155" t="s">
        <v>269</v>
      </c>
      <c r="G268" s="155" t="s">
        <v>269</v>
      </c>
      <c r="H268" s="157" t="s">
        <v>269</v>
      </c>
    </row>
    <row r="269" spans="1:8" ht="16.5">
      <c r="A269" s="134"/>
      <c r="B269" s="156" t="s">
        <v>269</v>
      </c>
      <c r="C269" s="154" t="s">
        <v>269</v>
      </c>
      <c r="D269" s="155" t="s">
        <v>269</v>
      </c>
      <c r="E269" s="155" t="s">
        <v>269</v>
      </c>
      <c r="F269" s="155" t="s">
        <v>269</v>
      </c>
      <c r="G269" s="155" t="s">
        <v>269</v>
      </c>
      <c r="H269" s="157" t="s">
        <v>269</v>
      </c>
    </row>
    <row r="270" spans="1:8" ht="16.5">
      <c r="A270" s="134"/>
      <c r="B270" s="156" t="s">
        <v>269</v>
      </c>
      <c r="C270" s="154" t="s">
        <v>269</v>
      </c>
      <c r="D270" s="155" t="s">
        <v>269</v>
      </c>
      <c r="E270" s="155" t="s">
        <v>269</v>
      </c>
      <c r="F270" s="155" t="s">
        <v>269</v>
      </c>
      <c r="G270" s="155" t="s">
        <v>269</v>
      </c>
      <c r="H270" s="157" t="s">
        <v>269</v>
      </c>
    </row>
    <row r="271" spans="1:8" ht="16.5">
      <c r="A271" s="134"/>
      <c r="B271" s="156" t="s">
        <v>269</v>
      </c>
      <c r="C271" s="154" t="s">
        <v>269</v>
      </c>
      <c r="D271" s="155" t="s">
        <v>269</v>
      </c>
      <c r="E271" s="155" t="s">
        <v>269</v>
      </c>
      <c r="F271" s="155" t="s">
        <v>269</v>
      </c>
      <c r="G271" s="155" t="s">
        <v>269</v>
      </c>
      <c r="H271" s="157" t="s">
        <v>269</v>
      </c>
    </row>
    <row r="272" spans="1:8" ht="16.5">
      <c r="A272" s="134"/>
      <c r="B272" s="156" t="s">
        <v>269</v>
      </c>
      <c r="C272" s="154" t="s">
        <v>269</v>
      </c>
      <c r="D272" s="155" t="s">
        <v>269</v>
      </c>
      <c r="E272" s="155" t="s">
        <v>269</v>
      </c>
      <c r="F272" s="155" t="s">
        <v>269</v>
      </c>
      <c r="G272" s="155" t="s">
        <v>269</v>
      </c>
      <c r="H272" s="157" t="s">
        <v>269</v>
      </c>
    </row>
    <row r="273" spans="1:8" ht="16.5">
      <c r="A273" s="134"/>
      <c r="B273" s="156" t="s">
        <v>269</v>
      </c>
      <c r="C273" s="154" t="s">
        <v>269</v>
      </c>
      <c r="D273" s="155" t="s">
        <v>269</v>
      </c>
      <c r="E273" s="155" t="s">
        <v>269</v>
      </c>
      <c r="F273" s="155" t="s">
        <v>269</v>
      </c>
      <c r="G273" s="155" t="s">
        <v>269</v>
      </c>
      <c r="H273" s="157" t="s">
        <v>269</v>
      </c>
    </row>
    <row r="274" spans="1:8" ht="16.5">
      <c r="A274" s="134"/>
      <c r="B274" s="156" t="s">
        <v>269</v>
      </c>
      <c r="C274" s="154" t="s">
        <v>269</v>
      </c>
      <c r="D274" s="155" t="s">
        <v>269</v>
      </c>
      <c r="E274" s="155" t="s">
        <v>269</v>
      </c>
      <c r="F274" s="155" t="s">
        <v>269</v>
      </c>
      <c r="G274" s="155" t="s">
        <v>269</v>
      </c>
      <c r="H274" s="157" t="s">
        <v>269</v>
      </c>
    </row>
    <row r="275" spans="1:8" ht="16.5">
      <c r="A275" s="134"/>
      <c r="B275" s="156" t="s">
        <v>269</v>
      </c>
      <c r="C275" s="154" t="s">
        <v>269</v>
      </c>
      <c r="D275" s="155" t="s">
        <v>269</v>
      </c>
      <c r="E275" s="155" t="s">
        <v>269</v>
      </c>
      <c r="F275" s="155" t="s">
        <v>269</v>
      </c>
      <c r="G275" s="155" t="s">
        <v>269</v>
      </c>
      <c r="H275" s="157" t="s">
        <v>269</v>
      </c>
    </row>
    <row r="276" spans="1:8" ht="16.5">
      <c r="A276" s="134"/>
      <c r="B276" s="156" t="s">
        <v>269</v>
      </c>
      <c r="C276" s="154" t="s">
        <v>269</v>
      </c>
      <c r="D276" s="155" t="s">
        <v>269</v>
      </c>
      <c r="E276" s="155" t="s">
        <v>269</v>
      </c>
      <c r="F276" s="155" t="s">
        <v>269</v>
      </c>
      <c r="G276" s="155" t="s">
        <v>269</v>
      </c>
      <c r="H276" s="157" t="s">
        <v>269</v>
      </c>
    </row>
    <row r="277" spans="1:8" ht="16.5">
      <c r="A277" s="134"/>
      <c r="B277" s="156" t="s">
        <v>269</v>
      </c>
      <c r="C277" s="154" t="s">
        <v>269</v>
      </c>
      <c r="D277" s="155" t="s">
        <v>269</v>
      </c>
      <c r="E277" s="155" t="s">
        <v>269</v>
      </c>
      <c r="F277" s="155" t="s">
        <v>269</v>
      </c>
      <c r="G277" s="155" t="s">
        <v>269</v>
      </c>
      <c r="H277" s="157" t="s">
        <v>269</v>
      </c>
    </row>
    <row r="278" spans="1:8" ht="16.5">
      <c r="A278" s="134"/>
      <c r="B278" s="156" t="s">
        <v>269</v>
      </c>
      <c r="C278" s="154" t="s">
        <v>269</v>
      </c>
      <c r="D278" s="155" t="s">
        <v>269</v>
      </c>
      <c r="E278" s="155" t="s">
        <v>269</v>
      </c>
      <c r="F278" s="155" t="s">
        <v>269</v>
      </c>
      <c r="G278" s="155" t="s">
        <v>269</v>
      </c>
      <c r="H278" s="157" t="s">
        <v>269</v>
      </c>
    </row>
    <row r="279" spans="1:8" ht="16.5">
      <c r="A279" s="134"/>
      <c r="B279" s="156" t="s">
        <v>269</v>
      </c>
      <c r="C279" s="154" t="s">
        <v>269</v>
      </c>
      <c r="D279" s="155" t="s">
        <v>269</v>
      </c>
      <c r="E279" s="155" t="s">
        <v>269</v>
      </c>
      <c r="F279" s="155" t="s">
        <v>269</v>
      </c>
      <c r="G279" s="155" t="s">
        <v>269</v>
      </c>
      <c r="H279" s="157" t="s">
        <v>269</v>
      </c>
    </row>
    <row r="280" spans="1:8" ht="16.5">
      <c r="A280" s="134"/>
      <c r="B280" s="156" t="s">
        <v>269</v>
      </c>
      <c r="C280" s="154" t="s">
        <v>269</v>
      </c>
      <c r="D280" s="155" t="s">
        <v>269</v>
      </c>
      <c r="E280" s="155" t="s">
        <v>269</v>
      </c>
      <c r="F280" s="155" t="s">
        <v>269</v>
      </c>
      <c r="G280" s="155" t="s">
        <v>269</v>
      </c>
      <c r="H280" s="157" t="s">
        <v>269</v>
      </c>
    </row>
    <row r="281" spans="1:8" ht="16.5">
      <c r="A281" s="134"/>
      <c r="B281" s="156" t="s">
        <v>269</v>
      </c>
      <c r="C281" s="154" t="s">
        <v>269</v>
      </c>
      <c r="D281" s="155" t="s">
        <v>269</v>
      </c>
      <c r="E281" s="155" t="s">
        <v>269</v>
      </c>
      <c r="F281" s="155" t="s">
        <v>269</v>
      </c>
      <c r="G281" s="155" t="s">
        <v>269</v>
      </c>
      <c r="H281" s="157" t="s">
        <v>269</v>
      </c>
    </row>
    <row r="282" spans="1:8" ht="16.5">
      <c r="A282" s="134"/>
      <c r="B282" s="156" t="s">
        <v>269</v>
      </c>
      <c r="C282" s="154" t="s">
        <v>269</v>
      </c>
      <c r="D282" s="155" t="s">
        <v>269</v>
      </c>
      <c r="E282" s="155" t="s">
        <v>269</v>
      </c>
      <c r="F282" s="155" t="s">
        <v>269</v>
      </c>
      <c r="G282" s="155" t="s">
        <v>269</v>
      </c>
      <c r="H282" s="157" t="s">
        <v>269</v>
      </c>
    </row>
    <row r="283" spans="1:8" ht="16.5">
      <c r="A283" s="134"/>
      <c r="B283" s="156" t="s">
        <v>269</v>
      </c>
      <c r="C283" s="154" t="s">
        <v>269</v>
      </c>
      <c r="D283" s="155" t="s">
        <v>269</v>
      </c>
      <c r="E283" s="155" t="s">
        <v>269</v>
      </c>
      <c r="F283" s="155" t="s">
        <v>269</v>
      </c>
      <c r="G283" s="155" t="s">
        <v>269</v>
      </c>
      <c r="H283" s="157" t="s">
        <v>269</v>
      </c>
    </row>
    <row r="284" spans="1:8" ht="16.5">
      <c r="A284" s="134"/>
      <c r="B284" s="156" t="s">
        <v>269</v>
      </c>
      <c r="C284" s="154" t="s">
        <v>269</v>
      </c>
      <c r="D284" s="155" t="s">
        <v>269</v>
      </c>
      <c r="E284" s="155" t="s">
        <v>269</v>
      </c>
      <c r="F284" s="155" t="s">
        <v>269</v>
      </c>
      <c r="G284" s="155" t="s">
        <v>269</v>
      </c>
      <c r="H284" s="157" t="s">
        <v>269</v>
      </c>
    </row>
    <row r="285" spans="1:8" ht="16.5">
      <c r="A285" s="134"/>
      <c r="B285" s="156" t="s">
        <v>269</v>
      </c>
      <c r="C285" s="154" t="s">
        <v>269</v>
      </c>
      <c r="D285" s="155" t="s">
        <v>269</v>
      </c>
      <c r="E285" s="155" t="s">
        <v>269</v>
      </c>
      <c r="F285" s="155" t="s">
        <v>269</v>
      </c>
      <c r="G285" s="155" t="s">
        <v>269</v>
      </c>
      <c r="H285" s="157" t="s">
        <v>269</v>
      </c>
    </row>
    <row r="286" spans="1:8" ht="16.5">
      <c r="A286" s="134"/>
      <c r="B286" s="156" t="s">
        <v>269</v>
      </c>
      <c r="C286" s="154" t="s">
        <v>269</v>
      </c>
      <c r="D286" s="155" t="s">
        <v>269</v>
      </c>
      <c r="E286" s="155" t="s">
        <v>269</v>
      </c>
      <c r="F286" s="155" t="s">
        <v>269</v>
      </c>
      <c r="G286" s="155" t="s">
        <v>269</v>
      </c>
      <c r="H286" s="157" t="s">
        <v>269</v>
      </c>
    </row>
    <row r="287" spans="1:8" ht="16.5">
      <c r="A287" s="134"/>
      <c r="B287" s="156" t="s">
        <v>269</v>
      </c>
      <c r="C287" s="154" t="s">
        <v>269</v>
      </c>
      <c r="D287" s="155" t="s">
        <v>269</v>
      </c>
      <c r="E287" s="155" t="s">
        <v>269</v>
      </c>
      <c r="F287" s="155" t="s">
        <v>269</v>
      </c>
      <c r="G287" s="155" t="s">
        <v>269</v>
      </c>
      <c r="H287" s="157" t="s">
        <v>269</v>
      </c>
    </row>
    <row r="288" spans="1:8" ht="16.5">
      <c r="A288" s="134"/>
      <c r="B288" s="156" t="s">
        <v>269</v>
      </c>
      <c r="C288" s="154" t="s">
        <v>269</v>
      </c>
      <c r="D288" s="155" t="s">
        <v>269</v>
      </c>
      <c r="E288" s="155" t="s">
        <v>269</v>
      </c>
      <c r="F288" s="155" t="s">
        <v>269</v>
      </c>
      <c r="G288" s="155" t="s">
        <v>269</v>
      </c>
      <c r="H288" s="157" t="s">
        <v>269</v>
      </c>
    </row>
    <row r="289" spans="1:8" ht="16.5">
      <c r="A289" s="134"/>
      <c r="B289" s="156" t="s">
        <v>269</v>
      </c>
      <c r="C289" s="154" t="s">
        <v>269</v>
      </c>
      <c r="D289" s="155" t="s">
        <v>269</v>
      </c>
      <c r="E289" s="155" t="s">
        <v>269</v>
      </c>
      <c r="F289" s="155" t="s">
        <v>269</v>
      </c>
      <c r="G289" s="155" t="s">
        <v>269</v>
      </c>
      <c r="H289" s="157" t="s">
        <v>269</v>
      </c>
    </row>
    <row r="290" spans="1:8" ht="16.5">
      <c r="A290" s="134"/>
      <c r="B290" s="156" t="s">
        <v>269</v>
      </c>
      <c r="C290" s="154" t="s">
        <v>269</v>
      </c>
      <c r="D290" s="155" t="s">
        <v>269</v>
      </c>
      <c r="E290" s="155" t="s">
        <v>269</v>
      </c>
      <c r="F290" s="155" t="s">
        <v>269</v>
      </c>
      <c r="G290" s="155" t="s">
        <v>269</v>
      </c>
      <c r="H290" s="157" t="s">
        <v>269</v>
      </c>
    </row>
    <row r="291" spans="1:8" ht="16.5">
      <c r="A291" s="134"/>
      <c r="B291" s="156" t="s">
        <v>269</v>
      </c>
      <c r="C291" s="154" t="s">
        <v>269</v>
      </c>
      <c r="D291" s="155" t="s">
        <v>269</v>
      </c>
      <c r="E291" s="155" t="s">
        <v>269</v>
      </c>
      <c r="F291" s="155" t="s">
        <v>269</v>
      </c>
      <c r="G291" s="155" t="s">
        <v>269</v>
      </c>
      <c r="H291" s="157" t="s">
        <v>269</v>
      </c>
    </row>
    <row r="292" spans="1:8" ht="16.5">
      <c r="A292" s="134"/>
      <c r="B292" s="156" t="s">
        <v>269</v>
      </c>
      <c r="C292" s="154" t="s">
        <v>269</v>
      </c>
      <c r="D292" s="155" t="s">
        <v>269</v>
      </c>
      <c r="E292" s="155" t="s">
        <v>269</v>
      </c>
      <c r="F292" s="155" t="s">
        <v>269</v>
      </c>
      <c r="G292" s="155" t="s">
        <v>269</v>
      </c>
      <c r="H292" s="157" t="s">
        <v>269</v>
      </c>
    </row>
    <row r="293" spans="1:8" ht="16.5">
      <c r="A293" s="134"/>
      <c r="B293" s="156" t="s">
        <v>269</v>
      </c>
      <c r="C293" s="154" t="s">
        <v>269</v>
      </c>
      <c r="D293" s="155" t="s">
        <v>269</v>
      </c>
      <c r="E293" s="155" t="s">
        <v>269</v>
      </c>
      <c r="F293" s="155" t="s">
        <v>269</v>
      </c>
      <c r="G293" s="155" t="s">
        <v>269</v>
      </c>
      <c r="H293" s="157" t="s">
        <v>269</v>
      </c>
    </row>
    <row r="294" spans="1:8" ht="16.5">
      <c r="A294" s="134"/>
      <c r="B294" s="156" t="s">
        <v>269</v>
      </c>
      <c r="C294" s="154" t="s">
        <v>269</v>
      </c>
      <c r="D294" s="155" t="s">
        <v>269</v>
      </c>
      <c r="E294" s="155" t="s">
        <v>269</v>
      </c>
      <c r="F294" s="155" t="s">
        <v>269</v>
      </c>
      <c r="G294" s="155" t="s">
        <v>269</v>
      </c>
      <c r="H294" s="157" t="s">
        <v>269</v>
      </c>
    </row>
    <row r="295" spans="1:8" ht="16.5">
      <c r="A295" s="134"/>
      <c r="B295" s="156" t="s">
        <v>269</v>
      </c>
      <c r="C295" s="154" t="s">
        <v>269</v>
      </c>
      <c r="D295" s="155" t="s">
        <v>269</v>
      </c>
      <c r="E295" s="155" t="s">
        <v>269</v>
      </c>
      <c r="F295" s="155" t="s">
        <v>269</v>
      </c>
      <c r="G295" s="155" t="s">
        <v>269</v>
      </c>
      <c r="H295" s="157" t="s">
        <v>269</v>
      </c>
    </row>
    <row r="296" spans="1:8" ht="16.5">
      <c r="A296" s="134"/>
      <c r="B296" s="156" t="s">
        <v>269</v>
      </c>
      <c r="C296" s="154" t="s">
        <v>269</v>
      </c>
      <c r="D296" s="155" t="s">
        <v>269</v>
      </c>
      <c r="E296" s="155" t="s">
        <v>269</v>
      </c>
      <c r="F296" s="155" t="s">
        <v>269</v>
      </c>
      <c r="G296" s="155" t="s">
        <v>269</v>
      </c>
      <c r="H296" s="157" t="s">
        <v>269</v>
      </c>
    </row>
    <row r="297" spans="1:8" ht="16.5">
      <c r="A297" s="134"/>
      <c r="B297" s="156" t="s">
        <v>269</v>
      </c>
      <c r="C297" s="154" t="s">
        <v>269</v>
      </c>
      <c r="D297" s="155" t="s">
        <v>269</v>
      </c>
      <c r="E297" s="155" t="s">
        <v>269</v>
      </c>
      <c r="F297" s="155" t="s">
        <v>269</v>
      </c>
      <c r="G297" s="155" t="s">
        <v>269</v>
      </c>
      <c r="H297" s="157" t="s">
        <v>269</v>
      </c>
    </row>
    <row r="298" spans="1:8" ht="16.5">
      <c r="A298" s="134"/>
      <c r="B298" s="156" t="s">
        <v>269</v>
      </c>
      <c r="C298" s="154" t="s">
        <v>269</v>
      </c>
      <c r="D298" s="155" t="s">
        <v>269</v>
      </c>
      <c r="E298" s="155" t="s">
        <v>269</v>
      </c>
      <c r="F298" s="155" t="s">
        <v>269</v>
      </c>
      <c r="G298" s="155" t="s">
        <v>269</v>
      </c>
      <c r="H298" s="157" t="s">
        <v>269</v>
      </c>
    </row>
    <row r="299" spans="1:8" ht="16.5">
      <c r="A299" s="134"/>
      <c r="B299" s="156" t="s">
        <v>269</v>
      </c>
      <c r="C299" s="154" t="s">
        <v>269</v>
      </c>
      <c r="D299" s="155" t="s">
        <v>269</v>
      </c>
      <c r="E299" s="155" t="s">
        <v>269</v>
      </c>
      <c r="F299" s="155" t="s">
        <v>269</v>
      </c>
      <c r="G299" s="155" t="s">
        <v>269</v>
      </c>
      <c r="H299" s="157" t="s">
        <v>269</v>
      </c>
    </row>
    <row r="300" spans="1:8" ht="16.5">
      <c r="A300" s="134"/>
      <c r="B300" s="156" t="s">
        <v>269</v>
      </c>
      <c r="C300" s="154" t="s">
        <v>269</v>
      </c>
      <c r="D300" s="155" t="s">
        <v>269</v>
      </c>
      <c r="E300" s="155" t="s">
        <v>269</v>
      </c>
      <c r="F300" s="155" t="s">
        <v>269</v>
      </c>
      <c r="G300" s="155" t="s">
        <v>269</v>
      </c>
      <c r="H300" s="157" t="s">
        <v>269</v>
      </c>
    </row>
    <row r="301" spans="1:8" ht="16.5">
      <c r="A301" s="134"/>
      <c r="B301" s="158" t="s">
        <v>269</v>
      </c>
      <c r="C301" s="154" t="s">
        <v>269</v>
      </c>
      <c r="D301" s="155" t="s">
        <v>269</v>
      </c>
      <c r="E301" s="155" t="s">
        <v>269</v>
      </c>
      <c r="F301" s="155" t="s">
        <v>269</v>
      </c>
      <c r="G301" s="155" t="s">
        <v>269</v>
      </c>
      <c r="H301" s="157" t="s">
        <v>269</v>
      </c>
    </row>
    <row r="302" spans="1:8" ht="16.5">
      <c r="A302" s="134"/>
      <c r="B302" s="158" t="s">
        <v>269</v>
      </c>
      <c r="C302" s="154" t="s">
        <v>269</v>
      </c>
      <c r="D302" s="155" t="s">
        <v>269</v>
      </c>
      <c r="E302" s="155" t="s">
        <v>269</v>
      </c>
      <c r="F302" s="155" t="s">
        <v>269</v>
      </c>
      <c r="G302" s="155" t="s">
        <v>269</v>
      </c>
      <c r="H302" s="157" t="s">
        <v>269</v>
      </c>
    </row>
    <row r="303" spans="1:8" ht="16.5">
      <c r="A303" s="134"/>
      <c r="B303" s="158" t="s">
        <v>269</v>
      </c>
      <c r="C303" s="154" t="s">
        <v>269</v>
      </c>
      <c r="D303" s="155" t="s">
        <v>269</v>
      </c>
      <c r="E303" s="155" t="s">
        <v>269</v>
      </c>
      <c r="F303" s="155" t="s">
        <v>269</v>
      </c>
      <c r="G303" s="155" t="s">
        <v>269</v>
      </c>
      <c r="H303" s="157" t="s">
        <v>269</v>
      </c>
    </row>
    <row r="304" spans="1:8" ht="16.5">
      <c r="A304" s="134"/>
      <c r="B304" s="158" t="s">
        <v>269</v>
      </c>
      <c r="C304" s="154" t="s">
        <v>269</v>
      </c>
      <c r="D304" s="155" t="s">
        <v>269</v>
      </c>
      <c r="E304" s="155" t="s">
        <v>269</v>
      </c>
      <c r="F304" s="155" t="s">
        <v>269</v>
      </c>
      <c r="G304" s="155" t="s">
        <v>269</v>
      </c>
      <c r="H304" s="157" t="s">
        <v>269</v>
      </c>
    </row>
    <row r="305" spans="1:8" ht="16.5">
      <c r="A305" s="134"/>
      <c r="B305" s="158" t="s">
        <v>269</v>
      </c>
      <c r="C305" s="154" t="s">
        <v>269</v>
      </c>
      <c r="D305" s="155" t="s">
        <v>269</v>
      </c>
      <c r="E305" s="155" t="s">
        <v>269</v>
      </c>
      <c r="F305" s="155" t="s">
        <v>269</v>
      </c>
      <c r="G305" s="155" t="s">
        <v>269</v>
      </c>
      <c r="H305" s="157" t="s">
        <v>269</v>
      </c>
    </row>
    <row r="306" spans="1:8" ht="16.5">
      <c r="A306" s="134"/>
      <c r="B306" s="158" t="s">
        <v>269</v>
      </c>
      <c r="C306" s="154" t="s">
        <v>269</v>
      </c>
      <c r="D306" s="155" t="s">
        <v>269</v>
      </c>
      <c r="E306" s="155" t="s">
        <v>269</v>
      </c>
      <c r="F306" s="155" t="s">
        <v>269</v>
      </c>
      <c r="G306" s="155" t="s">
        <v>269</v>
      </c>
      <c r="H306" s="157" t="s">
        <v>269</v>
      </c>
    </row>
    <row r="307" spans="1:8" ht="16.5">
      <c r="A307" s="134"/>
      <c r="B307" s="158" t="s">
        <v>269</v>
      </c>
      <c r="C307" s="154" t="s">
        <v>269</v>
      </c>
      <c r="D307" s="155" t="s">
        <v>269</v>
      </c>
      <c r="E307" s="155" t="s">
        <v>269</v>
      </c>
      <c r="F307" s="155" t="s">
        <v>269</v>
      </c>
      <c r="G307" s="155" t="s">
        <v>269</v>
      </c>
      <c r="H307" s="157" t="s">
        <v>269</v>
      </c>
    </row>
    <row r="308" spans="1:8" ht="16.5">
      <c r="A308" s="134"/>
      <c r="B308" s="158" t="s">
        <v>269</v>
      </c>
      <c r="C308" s="154" t="s">
        <v>269</v>
      </c>
      <c r="D308" s="155" t="s">
        <v>269</v>
      </c>
      <c r="E308" s="155" t="s">
        <v>269</v>
      </c>
      <c r="F308" s="155" t="s">
        <v>269</v>
      </c>
      <c r="G308" s="155" t="s">
        <v>269</v>
      </c>
      <c r="H308" s="157" t="s">
        <v>269</v>
      </c>
    </row>
    <row r="309" spans="1:8" ht="16.5">
      <c r="A309" s="134"/>
      <c r="B309" s="158" t="s">
        <v>269</v>
      </c>
      <c r="C309" s="154" t="s">
        <v>269</v>
      </c>
      <c r="D309" s="155" t="s">
        <v>269</v>
      </c>
      <c r="E309" s="155" t="s">
        <v>269</v>
      </c>
      <c r="F309" s="155" t="s">
        <v>269</v>
      </c>
      <c r="G309" s="155" t="s">
        <v>269</v>
      </c>
      <c r="H309" s="157" t="s">
        <v>269</v>
      </c>
    </row>
    <row r="310" spans="1:8" ht="16.5">
      <c r="A310" s="134"/>
      <c r="B310" s="158" t="s">
        <v>269</v>
      </c>
      <c r="C310" s="154" t="s">
        <v>269</v>
      </c>
      <c r="D310" s="155" t="s">
        <v>269</v>
      </c>
      <c r="E310" s="155" t="s">
        <v>269</v>
      </c>
      <c r="F310" s="155" t="s">
        <v>269</v>
      </c>
      <c r="G310" s="155" t="s">
        <v>269</v>
      </c>
      <c r="H310" s="157" t="s">
        <v>269</v>
      </c>
    </row>
    <row r="311" spans="1:8" ht="16.5">
      <c r="A311" s="134"/>
      <c r="B311" s="158" t="s">
        <v>269</v>
      </c>
      <c r="C311" s="154" t="s">
        <v>269</v>
      </c>
      <c r="D311" s="155" t="s">
        <v>269</v>
      </c>
      <c r="E311" s="155" t="s">
        <v>269</v>
      </c>
      <c r="F311" s="155" t="s">
        <v>269</v>
      </c>
      <c r="G311" s="155" t="s">
        <v>269</v>
      </c>
      <c r="H311" s="157" t="s">
        <v>269</v>
      </c>
    </row>
    <row r="312" spans="1:8" ht="16.5">
      <c r="A312" s="134"/>
      <c r="B312" s="158" t="s">
        <v>269</v>
      </c>
      <c r="C312" s="154" t="s">
        <v>269</v>
      </c>
      <c r="D312" s="155" t="s">
        <v>269</v>
      </c>
      <c r="E312" s="155" t="s">
        <v>269</v>
      </c>
      <c r="F312" s="155" t="s">
        <v>269</v>
      </c>
      <c r="G312" s="155" t="s">
        <v>269</v>
      </c>
      <c r="H312" s="157" t="s">
        <v>269</v>
      </c>
    </row>
    <row r="313" spans="1:8" ht="16.5">
      <c r="A313" s="134"/>
      <c r="B313" s="158" t="s">
        <v>269</v>
      </c>
      <c r="C313" s="154" t="s">
        <v>269</v>
      </c>
      <c r="D313" s="155" t="s">
        <v>269</v>
      </c>
      <c r="E313" s="155" t="s">
        <v>269</v>
      </c>
      <c r="F313" s="155" t="s">
        <v>269</v>
      </c>
      <c r="G313" s="155" t="s">
        <v>269</v>
      </c>
      <c r="H313" s="157" t="s">
        <v>269</v>
      </c>
    </row>
    <row r="314" spans="1:8" ht="16.5">
      <c r="A314" s="134"/>
      <c r="B314" s="158" t="s">
        <v>269</v>
      </c>
      <c r="C314" s="154" t="s">
        <v>269</v>
      </c>
      <c r="D314" s="155" t="s">
        <v>269</v>
      </c>
      <c r="E314" s="155" t="s">
        <v>269</v>
      </c>
      <c r="F314" s="155" t="s">
        <v>269</v>
      </c>
      <c r="G314" s="155" t="s">
        <v>269</v>
      </c>
      <c r="H314" s="157" t="s">
        <v>269</v>
      </c>
    </row>
    <row r="315" spans="1:8" ht="16.5">
      <c r="A315" s="134"/>
      <c r="B315" s="158" t="s">
        <v>269</v>
      </c>
      <c r="C315" s="154" t="s">
        <v>269</v>
      </c>
      <c r="D315" s="155" t="s">
        <v>269</v>
      </c>
      <c r="E315" s="155" t="s">
        <v>269</v>
      </c>
      <c r="F315" s="155" t="s">
        <v>269</v>
      </c>
      <c r="G315" s="155" t="s">
        <v>269</v>
      </c>
      <c r="H315" s="157" t="s">
        <v>269</v>
      </c>
    </row>
    <row r="316" spans="1:8" ht="16.5">
      <c r="A316" s="134"/>
      <c r="B316" s="158" t="s">
        <v>269</v>
      </c>
      <c r="C316" s="154" t="s">
        <v>269</v>
      </c>
      <c r="D316" s="155" t="s">
        <v>269</v>
      </c>
      <c r="E316" s="155" t="s">
        <v>269</v>
      </c>
      <c r="F316" s="155" t="s">
        <v>269</v>
      </c>
      <c r="G316" s="155" t="s">
        <v>269</v>
      </c>
      <c r="H316" s="157" t="s">
        <v>269</v>
      </c>
    </row>
    <row r="317" spans="1:8" ht="16.5">
      <c r="A317" s="134"/>
      <c r="B317" s="158" t="s">
        <v>269</v>
      </c>
      <c r="C317" s="154" t="s">
        <v>269</v>
      </c>
      <c r="D317" s="155" t="s">
        <v>269</v>
      </c>
      <c r="E317" s="155" t="s">
        <v>269</v>
      </c>
      <c r="F317" s="155" t="s">
        <v>269</v>
      </c>
      <c r="G317" s="155" t="s">
        <v>269</v>
      </c>
      <c r="H317" s="157" t="s">
        <v>269</v>
      </c>
    </row>
    <row r="318" spans="1:8" ht="16.5">
      <c r="A318" s="134"/>
      <c r="B318" s="158" t="s">
        <v>269</v>
      </c>
      <c r="C318" s="154" t="s">
        <v>269</v>
      </c>
      <c r="D318" s="155" t="s">
        <v>269</v>
      </c>
      <c r="E318" s="155" t="s">
        <v>269</v>
      </c>
      <c r="F318" s="155" t="s">
        <v>269</v>
      </c>
      <c r="G318" s="155" t="s">
        <v>269</v>
      </c>
      <c r="H318" s="157" t="s">
        <v>269</v>
      </c>
    </row>
    <row r="319" spans="1:8" ht="16.5">
      <c r="A319" s="134"/>
      <c r="B319" s="158" t="s">
        <v>269</v>
      </c>
      <c r="C319" s="154" t="s">
        <v>269</v>
      </c>
      <c r="D319" s="155" t="s">
        <v>269</v>
      </c>
      <c r="E319" s="155" t="s">
        <v>269</v>
      </c>
      <c r="F319" s="155" t="s">
        <v>269</v>
      </c>
      <c r="G319" s="155" t="s">
        <v>269</v>
      </c>
      <c r="H319" s="157" t="s">
        <v>269</v>
      </c>
    </row>
    <row r="320" spans="1:8" ht="16.5">
      <c r="A320" s="134"/>
      <c r="B320" s="158" t="s">
        <v>269</v>
      </c>
      <c r="C320" s="154" t="s">
        <v>269</v>
      </c>
      <c r="D320" s="155" t="s">
        <v>269</v>
      </c>
      <c r="E320" s="155" t="s">
        <v>269</v>
      </c>
      <c r="F320" s="155" t="s">
        <v>269</v>
      </c>
      <c r="G320" s="155" t="s">
        <v>269</v>
      </c>
      <c r="H320" s="157" t="s">
        <v>269</v>
      </c>
    </row>
    <row r="321" spans="1:8" ht="16.5">
      <c r="A321" s="134"/>
      <c r="B321" s="158" t="s">
        <v>269</v>
      </c>
      <c r="C321" s="154" t="s">
        <v>269</v>
      </c>
      <c r="D321" s="155" t="s">
        <v>269</v>
      </c>
      <c r="E321" s="155" t="s">
        <v>269</v>
      </c>
      <c r="F321" s="155" t="s">
        <v>269</v>
      </c>
      <c r="G321" s="155" t="s">
        <v>269</v>
      </c>
      <c r="H321" s="157" t="s">
        <v>269</v>
      </c>
    </row>
    <row r="322" spans="1:8" ht="16.5">
      <c r="A322" s="134"/>
      <c r="B322" s="158" t="s">
        <v>269</v>
      </c>
      <c r="C322" s="154" t="s">
        <v>269</v>
      </c>
      <c r="D322" s="155" t="s">
        <v>269</v>
      </c>
      <c r="E322" s="155" t="s">
        <v>269</v>
      </c>
      <c r="F322" s="155" t="s">
        <v>269</v>
      </c>
      <c r="G322" s="155" t="s">
        <v>269</v>
      </c>
      <c r="H322" s="157" t="s">
        <v>269</v>
      </c>
    </row>
    <row r="323" spans="1:8" ht="16.5">
      <c r="A323" s="134"/>
      <c r="B323" s="158" t="s">
        <v>269</v>
      </c>
      <c r="C323" s="154" t="s">
        <v>269</v>
      </c>
      <c r="D323" s="155" t="s">
        <v>269</v>
      </c>
      <c r="E323" s="155" t="s">
        <v>269</v>
      </c>
      <c r="F323" s="155" t="s">
        <v>269</v>
      </c>
      <c r="G323" s="155" t="s">
        <v>269</v>
      </c>
      <c r="H323" s="157" t="s">
        <v>269</v>
      </c>
    </row>
    <row r="324" spans="1:8" ht="16.5">
      <c r="A324" s="134"/>
      <c r="B324" s="158" t="s">
        <v>269</v>
      </c>
      <c r="C324" s="154" t="s">
        <v>269</v>
      </c>
      <c r="D324" s="155" t="s">
        <v>269</v>
      </c>
      <c r="E324" s="155" t="s">
        <v>269</v>
      </c>
      <c r="F324" s="155" t="s">
        <v>269</v>
      </c>
      <c r="G324" s="155" t="s">
        <v>269</v>
      </c>
      <c r="H324" s="157" t="s">
        <v>269</v>
      </c>
    </row>
    <row r="325" spans="1:8" ht="16.5">
      <c r="A325" s="134"/>
      <c r="B325" s="158" t="s">
        <v>269</v>
      </c>
      <c r="C325" s="154" t="s">
        <v>269</v>
      </c>
      <c r="D325" s="155" t="s">
        <v>269</v>
      </c>
      <c r="E325" s="155" t="s">
        <v>269</v>
      </c>
      <c r="F325" s="155" t="s">
        <v>269</v>
      </c>
      <c r="G325" s="155" t="s">
        <v>269</v>
      </c>
      <c r="H325" s="157" t="s">
        <v>269</v>
      </c>
    </row>
    <row r="326" spans="1:8" ht="16.5">
      <c r="A326" s="134"/>
      <c r="B326" s="158" t="s">
        <v>269</v>
      </c>
      <c r="C326" s="154" t="s">
        <v>269</v>
      </c>
      <c r="D326" s="155" t="s">
        <v>269</v>
      </c>
      <c r="E326" s="155" t="s">
        <v>269</v>
      </c>
      <c r="F326" s="155" t="s">
        <v>269</v>
      </c>
      <c r="G326" s="155" t="s">
        <v>269</v>
      </c>
      <c r="H326" s="157" t="s">
        <v>269</v>
      </c>
    </row>
    <row r="327" spans="1:8" ht="16.5">
      <c r="A327" s="134"/>
      <c r="B327" s="158" t="s">
        <v>269</v>
      </c>
      <c r="C327" s="154" t="s">
        <v>269</v>
      </c>
      <c r="D327" s="155" t="s">
        <v>269</v>
      </c>
      <c r="E327" s="155" t="s">
        <v>269</v>
      </c>
      <c r="F327" s="155" t="s">
        <v>269</v>
      </c>
      <c r="G327" s="155" t="s">
        <v>269</v>
      </c>
      <c r="H327" s="157" t="s">
        <v>269</v>
      </c>
    </row>
    <row r="328" spans="1:8" ht="16.5">
      <c r="A328" s="134"/>
      <c r="B328" s="158" t="s">
        <v>269</v>
      </c>
      <c r="C328" s="154" t="s">
        <v>269</v>
      </c>
      <c r="D328" s="155" t="s">
        <v>269</v>
      </c>
      <c r="E328" s="155" t="s">
        <v>269</v>
      </c>
      <c r="F328" s="155" t="s">
        <v>269</v>
      </c>
      <c r="G328" s="155" t="s">
        <v>269</v>
      </c>
      <c r="H328" s="157" t="s">
        <v>269</v>
      </c>
    </row>
    <row r="329" spans="1:8" ht="16.5">
      <c r="A329" s="134"/>
      <c r="B329" s="158" t="s">
        <v>269</v>
      </c>
      <c r="C329" s="154" t="s">
        <v>269</v>
      </c>
      <c r="D329" s="155" t="s">
        <v>269</v>
      </c>
      <c r="E329" s="155" t="s">
        <v>269</v>
      </c>
      <c r="F329" s="155" t="s">
        <v>269</v>
      </c>
      <c r="G329" s="155" t="s">
        <v>269</v>
      </c>
      <c r="H329" s="157" t="s">
        <v>269</v>
      </c>
    </row>
    <row r="330" spans="1:8" ht="16.5">
      <c r="A330" s="134"/>
      <c r="B330" s="158" t="s">
        <v>269</v>
      </c>
      <c r="C330" s="154" t="s">
        <v>269</v>
      </c>
      <c r="D330" s="155" t="s">
        <v>269</v>
      </c>
      <c r="E330" s="155" t="s">
        <v>269</v>
      </c>
      <c r="F330" s="155" t="s">
        <v>269</v>
      </c>
      <c r="G330" s="155" t="s">
        <v>269</v>
      </c>
      <c r="H330" s="157" t="s">
        <v>269</v>
      </c>
    </row>
    <row r="331" spans="1:8" ht="16.5">
      <c r="A331" s="134"/>
      <c r="B331" s="158" t="s">
        <v>269</v>
      </c>
      <c r="C331" s="154" t="s">
        <v>269</v>
      </c>
      <c r="D331" s="155" t="s">
        <v>269</v>
      </c>
      <c r="E331" s="155" t="s">
        <v>269</v>
      </c>
      <c r="F331" s="155" t="s">
        <v>269</v>
      </c>
      <c r="G331" s="155" t="s">
        <v>269</v>
      </c>
      <c r="H331" s="157" t="s">
        <v>269</v>
      </c>
    </row>
    <row r="332" spans="1:8" ht="16.5">
      <c r="A332" s="134"/>
      <c r="B332" s="158" t="s">
        <v>269</v>
      </c>
      <c r="C332" s="154" t="s">
        <v>269</v>
      </c>
      <c r="D332" s="155" t="s">
        <v>269</v>
      </c>
      <c r="E332" s="155" t="s">
        <v>269</v>
      </c>
      <c r="F332" s="155" t="s">
        <v>269</v>
      </c>
      <c r="G332" s="155" t="s">
        <v>269</v>
      </c>
      <c r="H332" s="157" t="s">
        <v>269</v>
      </c>
    </row>
    <row r="333" spans="1:8" ht="16.5">
      <c r="A333" s="134"/>
      <c r="B333" s="158" t="s">
        <v>269</v>
      </c>
      <c r="C333" s="154" t="s">
        <v>269</v>
      </c>
      <c r="D333" s="155" t="s">
        <v>269</v>
      </c>
      <c r="E333" s="155" t="s">
        <v>269</v>
      </c>
      <c r="F333" s="155" t="s">
        <v>269</v>
      </c>
      <c r="G333" s="155" t="s">
        <v>269</v>
      </c>
      <c r="H333" s="157" t="s">
        <v>269</v>
      </c>
    </row>
    <row r="334" spans="1:8" ht="16.5">
      <c r="A334" s="134"/>
      <c r="B334" s="158" t="s">
        <v>269</v>
      </c>
      <c r="C334" s="154" t="s">
        <v>269</v>
      </c>
      <c r="D334" s="155" t="s">
        <v>269</v>
      </c>
      <c r="E334" s="155" t="s">
        <v>269</v>
      </c>
      <c r="F334" s="155" t="s">
        <v>269</v>
      </c>
      <c r="G334" s="155" t="s">
        <v>269</v>
      </c>
      <c r="H334" s="157" t="s">
        <v>269</v>
      </c>
    </row>
    <row r="335" spans="1:8" ht="16.5">
      <c r="A335" s="134"/>
      <c r="B335" s="158" t="s">
        <v>269</v>
      </c>
      <c r="C335" s="154" t="s">
        <v>269</v>
      </c>
      <c r="D335" s="155" t="s">
        <v>269</v>
      </c>
      <c r="E335" s="155" t="s">
        <v>269</v>
      </c>
      <c r="F335" s="155" t="s">
        <v>269</v>
      </c>
      <c r="G335" s="155" t="s">
        <v>269</v>
      </c>
      <c r="H335" s="157" t="s">
        <v>269</v>
      </c>
    </row>
    <row r="336" spans="1:8" ht="16.5">
      <c r="A336" s="134"/>
      <c r="B336" s="158" t="s">
        <v>269</v>
      </c>
      <c r="C336" s="154" t="s">
        <v>269</v>
      </c>
      <c r="D336" s="155" t="s">
        <v>269</v>
      </c>
      <c r="E336" s="155" t="s">
        <v>269</v>
      </c>
      <c r="F336" s="155" t="s">
        <v>269</v>
      </c>
      <c r="G336" s="155" t="s">
        <v>269</v>
      </c>
      <c r="H336" s="157" t="s">
        <v>269</v>
      </c>
    </row>
    <row r="337" spans="1:8" ht="16.5">
      <c r="A337" s="134"/>
      <c r="B337" s="158" t="s">
        <v>269</v>
      </c>
      <c r="C337" s="154" t="s">
        <v>269</v>
      </c>
      <c r="D337" s="155" t="s">
        <v>269</v>
      </c>
      <c r="E337" s="155" t="s">
        <v>269</v>
      </c>
      <c r="F337" s="155" t="s">
        <v>269</v>
      </c>
      <c r="G337" s="155" t="s">
        <v>269</v>
      </c>
      <c r="H337" s="157" t="s">
        <v>269</v>
      </c>
    </row>
    <row r="338" spans="1:8" ht="16.5">
      <c r="A338" s="134"/>
      <c r="B338" s="158" t="s">
        <v>269</v>
      </c>
      <c r="C338" s="154" t="s">
        <v>269</v>
      </c>
      <c r="D338" s="155" t="s">
        <v>269</v>
      </c>
      <c r="E338" s="155" t="s">
        <v>269</v>
      </c>
      <c r="F338" s="155" t="s">
        <v>269</v>
      </c>
      <c r="G338" s="155" t="s">
        <v>269</v>
      </c>
      <c r="H338" s="157" t="s">
        <v>269</v>
      </c>
    </row>
    <row r="339" spans="1:8" ht="16.5">
      <c r="A339" s="134"/>
      <c r="B339" s="158" t="s">
        <v>269</v>
      </c>
      <c r="C339" s="154" t="s">
        <v>269</v>
      </c>
      <c r="D339" s="155" t="s">
        <v>269</v>
      </c>
      <c r="E339" s="155" t="s">
        <v>269</v>
      </c>
      <c r="F339" s="155" t="s">
        <v>269</v>
      </c>
      <c r="G339" s="155" t="s">
        <v>269</v>
      </c>
      <c r="H339" s="157" t="s">
        <v>269</v>
      </c>
    </row>
    <row r="340" spans="1:8" ht="16.5">
      <c r="A340" s="134"/>
      <c r="B340" s="158" t="s">
        <v>269</v>
      </c>
      <c r="C340" s="154" t="s">
        <v>269</v>
      </c>
      <c r="D340" s="155" t="s">
        <v>269</v>
      </c>
      <c r="E340" s="155" t="s">
        <v>269</v>
      </c>
      <c r="F340" s="155" t="s">
        <v>269</v>
      </c>
      <c r="G340" s="155" t="s">
        <v>269</v>
      </c>
      <c r="H340" s="157" t="s">
        <v>269</v>
      </c>
    </row>
    <row r="341" spans="1:8" ht="16.5">
      <c r="A341" s="134"/>
      <c r="B341" s="158" t="s">
        <v>269</v>
      </c>
      <c r="C341" s="154" t="s">
        <v>269</v>
      </c>
      <c r="D341" s="155" t="s">
        <v>269</v>
      </c>
      <c r="E341" s="155" t="s">
        <v>269</v>
      </c>
      <c r="F341" s="155" t="s">
        <v>269</v>
      </c>
      <c r="G341" s="155" t="s">
        <v>269</v>
      </c>
      <c r="H341" s="157" t="s">
        <v>269</v>
      </c>
    </row>
    <row r="342" spans="1:8" ht="16.5">
      <c r="A342" s="134"/>
      <c r="B342" s="158" t="s">
        <v>269</v>
      </c>
      <c r="C342" s="154" t="s">
        <v>269</v>
      </c>
      <c r="D342" s="155" t="s">
        <v>269</v>
      </c>
      <c r="E342" s="155" t="s">
        <v>269</v>
      </c>
      <c r="F342" s="155" t="s">
        <v>269</v>
      </c>
      <c r="G342" s="155" t="s">
        <v>269</v>
      </c>
      <c r="H342" s="157" t="s">
        <v>269</v>
      </c>
    </row>
    <row r="343" spans="1:8" ht="16.5">
      <c r="A343" s="134"/>
      <c r="B343" s="158" t="s">
        <v>269</v>
      </c>
      <c r="C343" s="154" t="s">
        <v>269</v>
      </c>
      <c r="D343" s="155" t="s">
        <v>269</v>
      </c>
      <c r="E343" s="155" t="s">
        <v>269</v>
      </c>
      <c r="F343" s="155" t="s">
        <v>269</v>
      </c>
      <c r="G343" s="155" t="s">
        <v>269</v>
      </c>
      <c r="H343" s="157" t="s">
        <v>269</v>
      </c>
    </row>
    <row r="344" spans="1:8" ht="16.5">
      <c r="A344" s="134"/>
      <c r="B344" s="158" t="s">
        <v>269</v>
      </c>
      <c r="C344" s="154" t="s">
        <v>269</v>
      </c>
      <c r="D344" s="155" t="s">
        <v>269</v>
      </c>
      <c r="E344" s="155" t="s">
        <v>269</v>
      </c>
      <c r="F344" s="155" t="s">
        <v>269</v>
      </c>
      <c r="G344" s="155" t="s">
        <v>269</v>
      </c>
      <c r="H344" s="157" t="s">
        <v>269</v>
      </c>
    </row>
    <row r="345" spans="1:8" ht="16.5">
      <c r="A345" s="134"/>
      <c r="B345" s="158" t="s">
        <v>269</v>
      </c>
      <c r="C345" s="154" t="s">
        <v>269</v>
      </c>
      <c r="D345" s="155" t="s">
        <v>269</v>
      </c>
      <c r="E345" s="155" t="s">
        <v>269</v>
      </c>
      <c r="F345" s="155" t="s">
        <v>269</v>
      </c>
      <c r="G345" s="155" t="s">
        <v>269</v>
      </c>
      <c r="H345" s="157" t="s">
        <v>269</v>
      </c>
    </row>
    <row r="346" spans="1:8" ht="16.5">
      <c r="A346" s="134"/>
      <c r="B346" s="158" t="s">
        <v>269</v>
      </c>
      <c r="C346" s="154" t="s">
        <v>269</v>
      </c>
      <c r="D346" s="155" t="s">
        <v>269</v>
      </c>
      <c r="E346" s="155" t="s">
        <v>269</v>
      </c>
      <c r="F346" s="155" t="s">
        <v>269</v>
      </c>
      <c r="G346" s="155" t="s">
        <v>269</v>
      </c>
      <c r="H346" s="157" t="s">
        <v>269</v>
      </c>
    </row>
    <row r="347" spans="1:8" ht="16.5">
      <c r="A347" s="134"/>
      <c r="B347" s="158" t="s">
        <v>269</v>
      </c>
      <c r="C347" s="154" t="s">
        <v>269</v>
      </c>
      <c r="D347" s="155" t="s">
        <v>269</v>
      </c>
      <c r="E347" s="155" t="s">
        <v>269</v>
      </c>
      <c r="F347" s="155" t="s">
        <v>269</v>
      </c>
      <c r="G347" s="155" t="s">
        <v>269</v>
      </c>
      <c r="H347" s="157" t="s">
        <v>269</v>
      </c>
    </row>
    <row r="348" spans="1:8" ht="16.5">
      <c r="A348" s="134"/>
      <c r="B348" s="158" t="s">
        <v>269</v>
      </c>
      <c r="C348" s="154" t="s">
        <v>269</v>
      </c>
      <c r="D348" s="155" t="s">
        <v>269</v>
      </c>
      <c r="E348" s="155" t="s">
        <v>269</v>
      </c>
      <c r="F348" s="155" t="s">
        <v>269</v>
      </c>
      <c r="G348" s="155" t="s">
        <v>269</v>
      </c>
      <c r="H348" s="157" t="s">
        <v>269</v>
      </c>
    </row>
    <row r="349" spans="1:8" ht="16.5">
      <c r="A349" s="134"/>
      <c r="B349" s="158" t="s">
        <v>269</v>
      </c>
      <c r="C349" s="154" t="s">
        <v>269</v>
      </c>
      <c r="D349" s="155" t="s">
        <v>269</v>
      </c>
      <c r="E349" s="155" t="s">
        <v>269</v>
      </c>
      <c r="F349" s="155" t="s">
        <v>269</v>
      </c>
      <c r="G349" s="155" t="s">
        <v>269</v>
      </c>
      <c r="H349" s="157" t="s">
        <v>269</v>
      </c>
    </row>
    <row r="350" spans="1:8" ht="16.5">
      <c r="A350" s="134"/>
      <c r="B350" s="158" t="s">
        <v>269</v>
      </c>
      <c r="C350" s="154" t="s">
        <v>269</v>
      </c>
      <c r="D350" s="155" t="s">
        <v>269</v>
      </c>
      <c r="E350" s="155" t="s">
        <v>269</v>
      </c>
      <c r="F350" s="155" t="s">
        <v>269</v>
      </c>
      <c r="G350" s="155" t="s">
        <v>269</v>
      </c>
      <c r="H350" s="157" t="s">
        <v>269</v>
      </c>
    </row>
    <row r="351" spans="1:8" ht="16.5">
      <c r="A351" s="134"/>
      <c r="B351" s="158" t="s">
        <v>269</v>
      </c>
      <c r="C351" s="154" t="s">
        <v>269</v>
      </c>
      <c r="D351" s="155" t="s">
        <v>269</v>
      </c>
      <c r="E351" s="155" t="s">
        <v>269</v>
      </c>
      <c r="F351" s="155" t="s">
        <v>269</v>
      </c>
      <c r="G351" s="155" t="s">
        <v>269</v>
      </c>
      <c r="H351" s="157" t="s">
        <v>269</v>
      </c>
    </row>
    <row r="352" spans="1:8" ht="16.5">
      <c r="A352" s="134"/>
      <c r="B352" s="158" t="s">
        <v>269</v>
      </c>
      <c r="C352" s="154" t="s">
        <v>269</v>
      </c>
      <c r="D352" s="155" t="s">
        <v>269</v>
      </c>
      <c r="E352" s="155" t="s">
        <v>269</v>
      </c>
      <c r="F352" s="155" t="s">
        <v>269</v>
      </c>
      <c r="G352" s="155" t="s">
        <v>269</v>
      </c>
      <c r="H352" s="157" t="s">
        <v>269</v>
      </c>
    </row>
    <row r="353" spans="1:8" ht="16.5">
      <c r="A353" s="134"/>
      <c r="B353" s="158" t="s">
        <v>269</v>
      </c>
      <c r="C353" s="154" t="s">
        <v>269</v>
      </c>
      <c r="D353" s="155" t="s">
        <v>269</v>
      </c>
      <c r="E353" s="155" t="s">
        <v>269</v>
      </c>
      <c r="F353" s="155" t="s">
        <v>269</v>
      </c>
      <c r="G353" s="155" t="s">
        <v>269</v>
      </c>
      <c r="H353" s="157" t="s">
        <v>269</v>
      </c>
    </row>
    <row r="354" spans="1:8" ht="16.5">
      <c r="A354" s="134"/>
      <c r="B354" s="158" t="s">
        <v>269</v>
      </c>
      <c r="C354" s="154" t="s">
        <v>269</v>
      </c>
      <c r="D354" s="155" t="s">
        <v>269</v>
      </c>
      <c r="E354" s="155" t="s">
        <v>269</v>
      </c>
      <c r="F354" s="155" t="s">
        <v>269</v>
      </c>
      <c r="G354" s="155" t="s">
        <v>269</v>
      </c>
      <c r="H354" s="157" t="s">
        <v>269</v>
      </c>
    </row>
    <row r="355" spans="1:8" ht="16.5">
      <c r="A355" s="134"/>
      <c r="B355" s="158" t="s">
        <v>269</v>
      </c>
      <c r="C355" s="154" t="s">
        <v>269</v>
      </c>
      <c r="D355" s="155" t="s">
        <v>269</v>
      </c>
      <c r="E355" s="155" t="s">
        <v>269</v>
      </c>
      <c r="F355" s="155" t="s">
        <v>269</v>
      </c>
      <c r="G355" s="155" t="s">
        <v>269</v>
      </c>
      <c r="H355" s="157" t="s">
        <v>269</v>
      </c>
    </row>
    <row r="356" spans="1:8" ht="16.5">
      <c r="A356" s="134"/>
      <c r="B356" s="158" t="s">
        <v>269</v>
      </c>
      <c r="C356" s="154" t="s">
        <v>269</v>
      </c>
      <c r="D356" s="155" t="s">
        <v>269</v>
      </c>
      <c r="E356" s="155" t="s">
        <v>269</v>
      </c>
      <c r="F356" s="155" t="s">
        <v>269</v>
      </c>
      <c r="G356" s="155" t="s">
        <v>269</v>
      </c>
      <c r="H356" s="157" t="s">
        <v>269</v>
      </c>
    </row>
    <row r="357" spans="1:8" ht="16.5">
      <c r="A357" s="134"/>
      <c r="B357" s="158" t="s">
        <v>269</v>
      </c>
      <c r="C357" s="154" t="s">
        <v>269</v>
      </c>
      <c r="D357" s="155" t="s">
        <v>269</v>
      </c>
      <c r="E357" s="155" t="s">
        <v>269</v>
      </c>
      <c r="F357" s="155" t="s">
        <v>269</v>
      </c>
      <c r="G357" s="155" t="s">
        <v>269</v>
      </c>
      <c r="H357" s="157" t="s">
        <v>269</v>
      </c>
    </row>
    <row r="358" spans="1:8" ht="16.5">
      <c r="A358" s="134"/>
      <c r="B358" s="158" t="s">
        <v>269</v>
      </c>
      <c r="C358" s="154" t="s">
        <v>269</v>
      </c>
      <c r="D358" s="155" t="s">
        <v>269</v>
      </c>
      <c r="E358" s="155" t="s">
        <v>269</v>
      </c>
      <c r="F358" s="155" t="s">
        <v>269</v>
      </c>
      <c r="G358" s="155" t="s">
        <v>269</v>
      </c>
      <c r="H358" s="157" t="s">
        <v>269</v>
      </c>
    </row>
    <row r="359" spans="1:8" ht="16.5">
      <c r="A359" s="134"/>
      <c r="B359" s="158" t="s">
        <v>269</v>
      </c>
      <c r="C359" s="154" t="s">
        <v>269</v>
      </c>
      <c r="D359" s="155" t="s">
        <v>269</v>
      </c>
      <c r="E359" s="155" t="s">
        <v>269</v>
      </c>
      <c r="F359" s="155" t="s">
        <v>269</v>
      </c>
      <c r="G359" s="155" t="s">
        <v>269</v>
      </c>
      <c r="H359" s="157" t="s">
        <v>269</v>
      </c>
    </row>
    <row r="360" spans="1:8" ht="16.5">
      <c r="A360" s="134"/>
      <c r="B360" s="158" t="s">
        <v>269</v>
      </c>
      <c r="C360" s="154" t="s">
        <v>269</v>
      </c>
      <c r="D360" s="155" t="s">
        <v>269</v>
      </c>
      <c r="E360" s="155" t="s">
        <v>269</v>
      </c>
      <c r="F360" s="155" t="s">
        <v>269</v>
      </c>
      <c r="G360" s="155" t="s">
        <v>269</v>
      </c>
      <c r="H360" s="157" t="s">
        <v>269</v>
      </c>
    </row>
    <row r="361" spans="1:8" ht="16.5">
      <c r="A361" s="134"/>
      <c r="B361" s="158" t="s">
        <v>269</v>
      </c>
      <c r="C361" s="154" t="s">
        <v>269</v>
      </c>
      <c r="D361" s="155" t="s">
        <v>269</v>
      </c>
      <c r="E361" s="155" t="s">
        <v>269</v>
      </c>
      <c r="F361" s="155" t="s">
        <v>269</v>
      </c>
      <c r="G361" s="155" t="s">
        <v>269</v>
      </c>
      <c r="H361" s="157" t="s">
        <v>269</v>
      </c>
    </row>
    <row r="362" spans="1:8" ht="16.5">
      <c r="A362" s="134"/>
      <c r="B362" s="158" t="s">
        <v>269</v>
      </c>
      <c r="C362" s="154" t="s">
        <v>269</v>
      </c>
      <c r="D362" s="155" t="s">
        <v>269</v>
      </c>
      <c r="E362" s="155" t="s">
        <v>269</v>
      </c>
      <c r="F362" s="155" t="s">
        <v>269</v>
      </c>
      <c r="G362" s="155" t="s">
        <v>269</v>
      </c>
      <c r="H362" s="157" t="s">
        <v>269</v>
      </c>
    </row>
    <row r="363" spans="1:8" ht="16.5">
      <c r="A363" s="134"/>
      <c r="B363" s="158" t="s">
        <v>269</v>
      </c>
      <c r="C363" s="154" t="s">
        <v>269</v>
      </c>
      <c r="D363" s="155" t="s">
        <v>269</v>
      </c>
      <c r="E363" s="155" t="s">
        <v>269</v>
      </c>
      <c r="F363" s="155" t="s">
        <v>269</v>
      </c>
      <c r="G363" s="155" t="s">
        <v>269</v>
      </c>
      <c r="H363" s="157" t="s">
        <v>269</v>
      </c>
    </row>
    <row r="364" spans="1:8" ht="16.5">
      <c r="A364" s="134"/>
      <c r="B364" s="158" t="s">
        <v>269</v>
      </c>
      <c r="C364" s="154" t="s">
        <v>269</v>
      </c>
      <c r="D364" s="155" t="s">
        <v>269</v>
      </c>
      <c r="E364" s="155" t="s">
        <v>269</v>
      </c>
      <c r="F364" s="155" t="s">
        <v>269</v>
      </c>
      <c r="G364" s="155" t="s">
        <v>269</v>
      </c>
      <c r="H364" s="157" t="s">
        <v>269</v>
      </c>
    </row>
    <row r="365" spans="1:8" ht="16.5">
      <c r="A365" s="134"/>
      <c r="B365" s="158" t="s">
        <v>269</v>
      </c>
      <c r="C365" s="154" t="s">
        <v>269</v>
      </c>
      <c r="D365" s="155" t="s">
        <v>269</v>
      </c>
      <c r="E365" s="155" t="s">
        <v>269</v>
      </c>
      <c r="F365" s="155" t="s">
        <v>269</v>
      </c>
      <c r="G365" s="155" t="s">
        <v>269</v>
      </c>
      <c r="H365" s="157" t="s">
        <v>269</v>
      </c>
    </row>
    <row r="366" spans="1:8" ht="16.5">
      <c r="A366" s="134"/>
      <c r="B366" s="158" t="s">
        <v>269</v>
      </c>
      <c r="C366" s="154" t="s">
        <v>269</v>
      </c>
      <c r="D366" s="155" t="s">
        <v>269</v>
      </c>
      <c r="E366" s="155" t="s">
        <v>269</v>
      </c>
      <c r="F366" s="155" t="s">
        <v>269</v>
      </c>
      <c r="G366" s="155" t="s">
        <v>269</v>
      </c>
      <c r="H366" s="157" t="s">
        <v>269</v>
      </c>
    </row>
    <row r="367" spans="1:8" ht="16.5">
      <c r="A367" s="134"/>
      <c r="B367" s="158" t="s">
        <v>269</v>
      </c>
      <c r="C367" s="154" t="s">
        <v>269</v>
      </c>
      <c r="D367" s="155" t="s">
        <v>269</v>
      </c>
      <c r="E367" s="155" t="s">
        <v>269</v>
      </c>
      <c r="F367" s="155" t="s">
        <v>269</v>
      </c>
      <c r="G367" s="155" t="s">
        <v>269</v>
      </c>
      <c r="H367" s="157" t="s">
        <v>269</v>
      </c>
    </row>
    <row r="368" spans="1:8" ht="16.5">
      <c r="A368" s="134"/>
      <c r="B368" s="158" t="s">
        <v>269</v>
      </c>
      <c r="C368" s="154" t="s">
        <v>269</v>
      </c>
      <c r="D368" s="155" t="s">
        <v>269</v>
      </c>
      <c r="E368" s="155" t="s">
        <v>269</v>
      </c>
      <c r="F368" s="155" t="s">
        <v>269</v>
      </c>
      <c r="G368" s="155" t="s">
        <v>269</v>
      </c>
      <c r="H368" s="157" t="s">
        <v>269</v>
      </c>
    </row>
    <row r="369" spans="1:8" ht="16.5">
      <c r="A369" s="134"/>
      <c r="B369" s="158" t="s">
        <v>269</v>
      </c>
      <c r="C369" s="154" t="s">
        <v>269</v>
      </c>
      <c r="D369" s="155" t="s">
        <v>269</v>
      </c>
      <c r="E369" s="155" t="s">
        <v>269</v>
      </c>
      <c r="F369" s="155" t="s">
        <v>269</v>
      </c>
      <c r="G369" s="155" t="s">
        <v>269</v>
      </c>
      <c r="H369" s="157" t="s">
        <v>269</v>
      </c>
    </row>
    <row r="370" spans="1:8" ht="16.5">
      <c r="A370" s="134"/>
      <c r="B370" s="158" t="s">
        <v>269</v>
      </c>
      <c r="C370" s="154" t="s">
        <v>269</v>
      </c>
      <c r="D370" s="155" t="s">
        <v>269</v>
      </c>
      <c r="E370" s="155" t="s">
        <v>269</v>
      </c>
      <c r="F370" s="155" t="s">
        <v>269</v>
      </c>
      <c r="G370" s="155" t="s">
        <v>269</v>
      </c>
      <c r="H370" s="157" t="s">
        <v>269</v>
      </c>
    </row>
    <row r="371" spans="1:8" ht="16.5">
      <c r="A371" s="134"/>
      <c r="B371" s="158" t="s">
        <v>269</v>
      </c>
      <c r="C371" s="154" t="s">
        <v>269</v>
      </c>
      <c r="D371" s="155" t="s">
        <v>269</v>
      </c>
      <c r="E371" s="155" t="s">
        <v>269</v>
      </c>
      <c r="F371" s="155" t="s">
        <v>269</v>
      </c>
      <c r="G371" s="155" t="s">
        <v>269</v>
      </c>
      <c r="H371" s="157" t="s">
        <v>269</v>
      </c>
    </row>
    <row r="372" spans="1:8" ht="16.5">
      <c r="A372" s="134"/>
      <c r="B372" s="158" t="s">
        <v>269</v>
      </c>
      <c r="C372" s="154" t="s">
        <v>269</v>
      </c>
      <c r="D372" s="155" t="s">
        <v>269</v>
      </c>
      <c r="E372" s="155" t="s">
        <v>269</v>
      </c>
      <c r="F372" s="155" t="s">
        <v>269</v>
      </c>
      <c r="G372" s="155" t="s">
        <v>269</v>
      </c>
      <c r="H372" s="157" t="s">
        <v>269</v>
      </c>
    </row>
    <row r="373" spans="1:8" ht="16.5">
      <c r="A373" s="134"/>
      <c r="B373" s="158" t="s">
        <v>269</v>
      </c>
      <c r="C373" s="154" t="s">
        <v>269</v>
      </c>
      <c r="D373" s="155" t="s">
        <v>269</v>
      </c>
      <c r="E373" s="155" t="s">
        <v>269</v>
      </c>
      <c r="F373" s="155" t="s">
        <v>269</v>
      </c>
      <c r="G373" s="155" t="s">
        <v>269</v>
      </c>
      <c r="H373" s="157" t="s">
        <v>269</v>
      </c>
    </row>
    <row r="374" spans="1:8" ht="16.5">
      <c r="A374" s="134"/>
      <c r="B374" s="158" t="s">
        <v>269</v>
      </c>
      <c r="C374" s="154" t="s">
        <v>269</v>
      </c>
      <c r="D374" s="155" t="s">
        <v>269</v>
      </c>
      <c r="E374" s="155" t="s">
        <v>269</v>
      </c>
      <c r="F374" s="155" t="s">
        <v>269</v>
      </c>
      <c r="G374" s="155" t="s">
        <v>269</v>
      </c>
      <c r="H374" s="157" t="s">
        <v>269</v>
      </c>
    </row>
    <row r="375" spans="1:8" ht="16.5">
      <c r="A375" s="134"/>
      <c r="B375" s="159" t="s">
        <v>269</v>
      </c>
      <c r="C375" s="160" t="s">
        <v>269</v>
      </c>
      <c r="D375" s="161" t="s">
        <v>269</v>
      </c>
      <c r="E375" s="161" t="s">
        <v>269</v>
      </c>
      <c r="F375" s="161" t="s">
        <v>269</v>
      </c>
      <c r="G375" s="161" t="s">
        <v>269</v>
      </c>
      <c r="H375" s="162" t="s">
        <v>269</v>
      </c>
    </row>
    <row r="376" spans="1:8" ht="16.5">
      <c r="A376" s="134"/>
      <c r="B376" s="137"/>
      <c r="C376" s="163"/>
      <c r="D376" s="164"/>
      <c r="E376" s="164"/>
      <c r="F376" s="164"/>
      <c r="G376" s="164"/>
      <c r="H376" s="164"/>
    </row>
    <row r="377" spans="1:8" ht="16.5">
      <c r="A377" s="134"/>
      <c r="B377" s="137"/>
      <c r="C377" s="163"/>
      <c r="D377" s="164"/>
      <c r="E377" s="164"/>
      <c r="F377" s="164"/>
      <c r="G377" s="164"/>
      <c r="H377" s="164"/>
    </row>
    <row r="378" spans="1:8" ht="16.5">
      <c r="A378" s="134"/>
      <c r="B378" s="137"/>
      <c r="C378" s="163"/>
      <c r="D378" s="164"/>
      <c r="E378" s="164"/>
      <c r="F378" s="164"/>
      <c r="G378" s="164"/>
      <c r="H378" s="164"/>
    </row>
    <row r="379" spans="1:8" ht="16.5">
      <c r="A379" s="134"/>
      <c r="B379" s="137"/>
      <c r="C379" s="163"/>
      <c r="D379" s="164"/>
      <c r="E379" s="164"/>
      <c r="F379" s="164"/>
      <c r="G379" s="164"/>
      <c r="H379" s="164"/>
    </row>
    <row r="380" spans="1:8" ht="16.5">
      <c r="A380" s="134"/>
      <c r="B380" s="137"/>
      <c r="C380" s="163"/>
      <c r="D380" s="164"/>
      <c r="E380" s="164"/>
      <c r="F380" s="164"/>
      <c r="G380" s="164"/>
      <c r="H380" s="164"/>
    </row>
    <row r="381" spans="1:8" ht="16.5">
      <c r="A381" s="134"/>
      <c r="B381" s="137"/>
      <c r="C381" s="163"/>
      <c r="D381" s="164"/>
      <c r="E381" s="164"/>
      <c r="F381" s="164"/>
      <c r="G381" s="164"/>
      <c r="H381" s="164"/>
    </row>
    <row r="382" spans="1:8" ht="16.5">
      <c r="A382" s="134"/>
      <c r="B382" s="137"/>
      <c r="C382" s="163"/>
      <c r="D382" s="164"/>
      <c r="E382" s="164"/>
      <c r="F382" s="164"/>
      <c r="G382" s="164"/>
      <c r="H382" s="164"/>
    </row>
    <row r="383" spans="1:8" ht="16.5">
      <c r="A383" s="134"/>
      <c r="B383" s="137"/>
      <c r="C383" s="163"/>
      <c r="D383" s="164"/>
      <c r="E383" s="164"/>
      <c r="F383" s="164"/>
      <c r="G383" s="164"/>
      <c r="H383" s="164"/>
    </row>
    <row r="384" spans="1:8" ht="16.5">
      <c r="A384" s="134"/>
      <c r="B384" s="137"/>
      <c r="C384" s="163"/>
      <c r="D384" s="164"/>
      <c r="E384" s="164"/>
      <c r="F384" s="164"/>
      <c r="G384" s="164"/>
      <c r="H384" s="164"/>
    </row>
    <row r="385" spans="1:8" ht="16.5">
      <c r="A385" s="134"/>
      <c r="B385" s="137"/>
      <c r="C385" s="163"/>
      <c r="D385" s="164"/>
      <c r="E385" s="164"/>
      <c r="F385" s="164"/>
      <c r="G385" s="164"/>
      <c r="H385" s="164"/>
    </row>
    <row r="386" spans="1:8" ht="16.5">
      <c r="A386" s="134"/>
      <c r="B386" s="137"/>
      <c r="C386" s="163"/>
      <c r="D386" s="164"/>
      <c r="E386" s="164"/>
      <c r="F386" s="164"/>
      <c r="G386" s="164"/>
      <c r="H386" s="164"/>
    </row>
    <row r="387" spans="1:8" ht="16.5">
      <c r="A387" s="134"/>
      <c r="B387" s="137"/>
      <c r="C387" s="163"/>
      <c r="D387" s="164"/>
      <c r="E387" s="164"/>
      <c r="F387" s="164"/>
      <c r="G387" s="164"/>
      <c r="H387" s="164"/>
    </row>
    <row r="388" spans="1:8" ht="16.5">
      <c r="A388" s="134"/>
      <c r="B388" s="137"/>
      <c r="C388" s="163"/>
      <c r="D388" s="164"/>
      <c r="E388" s="164"/>
      <c r="F388" s="164"/>
      <c r="G388" s="164"/>
      <c r="H388" s="164"/>
    </row>
    <row r="389" spans="1:8" ht="16.5">
      <c r="A389" s="134"/>
      <c r="B389" s="137"/>
      <c r="C389" s="163"/>
      <c r="D389" s="164"/>
      <c r="E389" s="164"/>
      <c r="F389" s="164"/>
      <c r="G389" s="164"/>
      <c r="H389" s="164"/>
    </row>
    <row r="390" spans="1:8" ht="16.5">
      <c r="A390" s="134"/>
      <c r="B390" s="137"/>
      <c r="C390" s="163"/>
      <c r="D390" s="164"/>
      <c r="E390" s="164"/>
      <c r="F390" s="164"/>
      <c r="G390" s="164"/>
      <c r="H390" s="164"/>
    </row>
    <row r="391" spans="1:8" ht="16.5">
      <c r="A391" s="134"/>
      <c r="B391" s="137"/>
      <c r="C391" s="163"/>
      <c r="D391" s="164"/>
      <c r="E391" s="164"/>
      <c r="F391" s="164"/>
      <c r="G391" s="164"/>
      <c r="H391" s="164"/>
    </row>
    <row r="392" spans="1:8" ht="16.5">
      <c r="A392" s="134"/>
      <c r="B392" s="137"/>
      <c r="C392" s="163"/>
      <c r="D392" s="164"/>
      <c r="E392" s="164"/>
      <c r="F392" s="164"/>
      <c r="G392" s="164"/>
      <c r="H392" s="164"/>
    </row>
    <row r="393" spans="1:8" ht="16.5">
      <c r="A393" s="134"/>
      <c r="B393" s="137"/>
      <c r="C393" s="163"/>
      <c r="D393" s="164"/>
      <c r="E393" s="164"/>
      <c r="F393" s="164"/>
      <c r="G393" s="164"/>
      <c r="H393" s="164"/>
    </row>
    <row r="394" spans="1:8" ht="16.5">
      <c r="A394" s="134"/>
      <c r="B394" s="137"/>
      <c r="C394" s="163"/>
      <c r="D394" s="164"/>
      <c r="E394" s="164"/>
      <c r="F394" s="164"/>
      <c r="G394" s="164"/>
      <c r="H394" s="164"/>
    </row>
    <row r="395" spans="1:8" ht="16.5">
      <c r="A395" s="134"/>
      <c r="B395" s="137"/>
      <c r="C395" s="163"/>
      <c r="D395" s="164"/>
      <c r="E395" s="164"/>
      <c r="F395" s="164"/>
      <c r="G395" s="164"/>
      <c r="H395" s="164"/>
    </row>
    <row r="396" spans="1:8" ht="16.5">
      <c r="A396" s="134"/>
      <c r="B396" s="137"/>
      <c r="C396" s="163"/>
      <c r="D396" s="164"/>
      <c r="E396" s="164"/>
      <c r="F396" s="164"/>
      <c r="G396" s="164"/>
      <c r="H396" s="164"/>
    </row>
    <row r="397" spans="1:8" ht="16.5">
      <c r="A397" s="134"/>
      <c r="B397" s="137"/>
      <c r="C397" s="163"/>
      <c r="D397" s="164"/>
      <c r="E397" s="164"/>
      <c r="F397" s="164"/>
      <c r="G397" s="164"/>
      <c r="H397" s="164"/>
    </row>
    <row r="398" spans="1:8" ht="16.5">
      <c r="A398" s="134"/>
      <c r="B398" s="137"/>
      <c r="C398" s="163"/>
      <c r="D398" s="164"/>
      <c r="E398" s="164"/>
      <c r="F398" s="164"/>
      <c r="G398" s="164"/>
      <c r="H398" s="164"/>
    </row>
    <row r="399" spans="1:8" ht="16.5">
      <c r="A399" s="134"/>
      <c r="B399" s="137"/>
      <c r="C399" s="163"/>
      <c r="D399" s="164"/>
      <c r="E399" s="164"/>
      <c r="F399" s="164"/>
      <c r="G399" s="164"/>
      <c r="H399" s="164"/>
    </row>
    <row r="400" spans="1:8" ht="16.5">
      <c r="A400" s="134"/>
      <c r="B400" s="137"/>
      <c r="C400" s="163"/>
      <c r="D400" s="164"/>
      <c r="E400" s="164"/>
      <c r="F400" s="164"/>
      <c r="G400" s="164"/>
      <c r="H400" s="164"/>
    </row>
    <row r="401" spans="1:8" ht="16.5">
      <c r="A401" s="134"/>
      <c r="B401" s="137"/>
      <c r="C401" s="163"/>
      <c r="D401" s="164"/>
      <c r="E401" s="164"/>
      <c r="F401" s="164"/>
      <c r="G401" s="164"/>
      <c r="H401" s="164"/>
    </row>
    <row r="402" spans="1:8" ht="16.5">
      <c r="A402" s="134"/>
      <c r="B402" s="137"/>
      <c r="C402" s="163"/>
      <c r="D402" s="164"/>
      <c r="E402" s="164"/>
      <c r="F402" s="164"/>
      <c r="G402" s="164"/>
      <c r="H402" s="164"/>
    </row>
    <row r="403" spans="1:8" ht="16.5">
      <c r="A403" s="134"/>
      <c r="B403" s="137"/>
      <c r="C403" s="163"/>
      <c r="D403" s="164"/>
      <c r="E403" s="164"/>
      <c r="F403" s="164"/>
      <c r="G403" s="164"/>
      <c r="H403" s="164"/>
    </row>
    <row r="404" spans="1:8" ht="16.5">
      <c r="A404" s="134"/>
      <c r="B404" s="137"/>
      <c r="C404" s="163"/>
      <c r="D404" s="164"/>
      <c r="E404" s="164"/>
      <c r="F404" s="164"/>
      <c r="G404" s="164"/>
      <c r="H404" s="164"/>
    </row>
    <row r="405" spans="1:8" ht="16.5">
      <c r="A405" s="134"/>
      <c r="B405" s="137"/>
      <c r="C405" s="163"/>
      <c r="D405" s="164"/>
      <c r="E405" s="164"/>
      <c r="F405" s="164"/>
      <c r="G405" s="164"/>
      <c r="H405" s="164"/>
    </row>
    <row r="406" spans="1:8" ht="16.5">
      <c r="A406" s="134"/>
      <c r="B406" s="137"/>
      <c r="C406" s="163"/>
      <c r="D406" s="164"/>
      <c r="E406" s="164"/>
      <c r="F406" s="164"/>
      <c r="G406" s="164"/>
      <c r="H406" s="164"/>
    </row>
    <row r="407" spans="1:8" ht="16.5">
      <c r="A407" s="134"/>
      <c r="B407" s="137"/>
      <c r="C407" s="163"/>
      <c r="D407" s="164"/>
      <c r="E407" s="164"/>
      <c r="F407" s="164"/>
      <c r="G407" s="164"/>
      <c r="H407" s="164"/>
    </row>
    <row r="408" spans="1:8" ht="16.5">
      <c r="A408" s="134"/>
      <c r="B408" s="137"/>
      <c r="C408" s="163"/>
      <c r="D408" s="164"/>
      <c r="E408" s="164"/>
      <c r="F408" s="164"/>
      <c r="G408" s="164"/>
      <c r="H408" s="164"/>
    </row>
    <row r="409" spans="1:8" ht="16.5">
      <c r="A409" s="134"/>
      <c r="B409" s="137"/>
      <c r="C409" s="163"/>
      <c r="D409" s="164"/>
      <c r="E409" s="164"/>
      <c r="F409" s="164"/>
      <c r="G409" s="164"/>
      <c r="H409" s="164"/>
    </row>
    <row r="410" spans="1:8" ht="16.5">
      <c r="A410" s="134"/>
      <c r="B410" s="137"/>
      <c r="C410" s="163"/>
      <c r="D410" s="164"/>
      <c r="E410" s="164"/>
      <c r="F410" s="164"/>
      <c r="G410" s="164"/>
      <c r="H410" s="164"/>
    </row>
    <row r="411" spans="1:8" ht="16.5">
      <c r="A411" s="134"/>
      <c r="B411" s="137"/>
      <c r="C411" s="163"/>
      <c r="D411" s="164"/>
      <c r="E411" s="164"/>
      <c r="F411" s="164"/>
      <c r="G411" s="164"/>
      <c r="H411" s="164"/>
    </row>
    <row r="412" spans="1:8" ht="16.5">
      <c r="A412" s="134"/>
      <c r="B412" s="137"/>
      <c r="C412" s="163"/>
      <c r="D412" s="164"/>
      <c r="E412" s="164"/>
      <c r="F412" s="164"/>
      <c r="G412" s="164"/>
      <c r="H412" s="164"/>
    </row>
    <row r="413" spans="1:8" ht="16.5">
      <c r="A413" s="134"/>
      <c r="B413" s="137"/>
      <c r="C413" s="163"/>
      <c r="D413" s="164"/>
      <c r="E413" s="164"/>
      <c r="F413" s="164"/>
      <c r="G413" s="164"/>
      <c r="H413" s="164"/>
    </row>
    <row r="414" spans="1:8" ht="16.5">
      <c r="A414" s="134"/>
      <c r="B414" s="137"/>
      <c r="C414" s="163"/>
      <c r="D414" s="164"/>
      <c r="E414" s="164"/>
      <c r="F414" s="164"/>
      <c r="G414" s="164"/>
      <c r="H414" s="164"/>
    </row>
    <row r="415" spans="1:8" ht="16.5">
      <c r="A415" s="134"/>
      <c r="B415" s="137"/>
      <c r="C415" s="163"/>
      <c r="D415" s="164"/>
      <c r="E415" s="164"/>
      <c r="F415" s="164"/>
      <c r="G415" s="164"/>
      <c r="H415" s="164"/>
    </row>
    <row r="416" spans="1:8" ht="16.5">
      <c r="A416" s="134"/>
      <c r="B416" s="137"/>
      <c r="C416" s="163"/>
      <c r="D416" s="164"/>
      <c r="E416" s="164"/>
      <c r="F416" s="164"/>
      <c r="G416" s="164"/>
      <c r="H416" s="164"/>
    </row>
    <row r="417" spans="1:8" ht="16.5">
      <c r="A417" s="134"/>
      <c r="B417" s="137"/>
      <c r="C417" s="163"/>
      <c r="D417" s="164"/>
      <c r="E417" s="164"/>
      <c r="F417" s="164"/>
      <c r="G417" s="164"/>
      <c r="H417" s="164"/>
    </row>
    <row r="418" spans="1:8" ht="16.5">
      <c r="A418" s="134"/>
      <c r="B418" s="137"/>
      <c r="C418" s="163"/>
      <c r="D418" s="164"/>
      <c r="E418" s="164"/>
      <c r="F418" s="164"/>
      <c r="G418" s="164"/>
      <c r="H418" s="164"/>
    </row>
    <row r="419" spans="1:8" ht="16.5">
      <c r="A419" s="134"/>
      <c r="B419" s="137"/>
      <c r="C419" s="163"/>
      <c r="D419" s="164"/>
      <c r="E419" s="164"/>
      <c r="F419" s="164"/>
      <c r="G419" s="164"/>
      <c r="H419" s="164"/>
    </row>
    <row r="420" spans="1:8" ht="16.5">
      <c r="A420" s="134"/>
      <c r="B420" s="137"/>
      <c r="C420" s="163"/>
      <c r="D420" s="164"/>
      <c r="E420" s="164"/>
      <c r="F420" s="164"/>
      <c r="G420" s="164"/>
      <c r="H420" s="164"/>
    </row>
    <row r="421" spans="1:8" ht="16.5">
      <c r="A421" s="134"/>
      <c r="B421" s="137"/>
      <c r="C421" s="163"/>
      <c r="D421" s="164"/>
      <c r="E421" s="164"/>
      <c r="F421" s="164"/>
      <c r="G421" s="164"/>
      <c r="H421" s="164"/>
    </row>
    <row r="422" spans="1:8" ht="16.5">
      <c r="A422" s="134"/>
      <c r="B422" s="137"/>
      <c r="C422" s="163"/>
      <c r="D422" s="164"/>
      <c r="E422" s="164"/>
      <c r="F422" s="164"/>
      <c r="G422" s="164"/>
      <c r="H422" s="164"/>
    </row>
    <row r="423" spans="1:8" ht="16.5">
      <c r="A423" s="134"/>
      <c r="B423" s="137"/>
      <c r="C423" s="163"/>
      <c r="D423" s="164"/>
      <c r="E423" s="164"/>
      <c r="F423" s="164"/>
      <c r="G423" s="164"/>
      <c r="H423" s="164"/>
    </row>
    <row r="424" spans="1:8" ht="16.5">
      <c r="A424" s="134"/>
      <c r="B424" s="137"/>
      <c r="C424" s="163"/>
      <c r="D424" s="164"/>
      <c r="E424" s="164"/>
      <c r="F424" s="164"/>
      <c r="G424" s="164"/>
      <c r="H424" s="164"/>
    </row>
    <row r="425" spans="1:8" ht="16.5">
      <c r="A425" s="134"/>
      <c r="B425" s="137"/>
      <c r="C425" s="163"/>
      <c r="D425" s="164"/>
      <c r="E425" s="164"/>
      <c r="F425" s="164"/>
      <c r="G425" s="164"/>
      <c r="H425" s="164"/>
    </row>
    <row r="426" spans="1:8" ht="16.5">
      <c r="A426" s="134"/>
      <c r="B426" s="137"/>
      <c r="C426" s="163"/>
      <c r="D426" s="164"/>
      <c r="E426" s="164"/>
      <c r="F426" s="164"/>
      <c r="G426" s="164"/>
      <c r="H426" s="164"/>
    </row>
    <row r="427" spans="1:8" ht="16.5">
      <c r="A427" s="134"/>
      <c r="B427" s="137"/>
      <c r="C427" s="163"/>
      <c r="D427" s="164"/>
      <c r="E427" s="164"/>
      <c r="F427" s="164"/>
      <c r="G427" s="164"/>
      <c r="H427" s="164"/>
    </row>
    <row r="428" spans="1:8" ht="16.5">
      <c r="A428" s="134"/>
      <c r="B428" s="137"/>
      <c r="C428" s="163"/>
      <c r="D428" s="164"/>
      <c r="E428" s="164"/>
      <c r="F428" s="164"/>
      <c r="G428" s="164"/>
      <c r="H428" s="164"/>
    </row>
    <row r="429" spans="1:8" ht="16.5">
      <c r="A429" s="134"/>
      <c r="B429" s="137"/>
      <c r="C429" s="163"/>
      <c r="D429" s="164"/>
      <c r="E429" s="164"/>
      <c r="F429" s="164"/>
      <c r="G429" s="164"/>
      <c r="H429" s="164"/>
    </row>
    <row r="430" spans="1:8" ht="16.5">
      <c r="A430" s="134"/>
      <c r="B430" s="137"/>
      <c r="C430" s="163"/>
      <c r="D430" s="164"/>
      <c r="E430" s="164"/>
      <c r="F430" s="164"/>
      <c r="G430" s="164"/>
      <c r="H430" s="164"/>
    </row>
    <row r="431" spans="1:8" ht="16.5">
      <c r="A431" s="134"/>
      <c r="B431" s="137"/>
      <c r="C431" s="163"/>
      <c r="D431" s="164"/>
      <c r="E431" s="164"/>
      <c r="F431" s="164"/>
      <c r="G431" s="164"/>
      <c r="H431" s="164"/>
    </row>
    <row r="432" spans="1:8" ht="16.5">
      <c r="A432" s="134"/>
      <c r="B432" s="137"/>
      <c r="C432" s="163"/>
      <c r="D432" s="164"/>
      <c r="E432" s="164"/>
      <c r="F432" s="164"/>
      <c r="G432" s="164"/>
      <c r="H432" s="164"/>
    </row>
    <row r="433" spans="1:8" ht="16.5">
      <c r="A433" s="134"/>
      <c r="B433" s="137"/>
      <c r="C433" s="163"/>
      <c r="D433" s="164"/>
      <c r="E433" s="164"/>
      <c r="F433" s="164"/>
      <c r="G433" s="164"/>
      <c r="H433" s="164"/>
    </row>
    <row r="434" spans="1:8" ht="16.5">
      <c r="A434" s="134"/>
      <c r="B434" s="137"/>
      <c r="C434" s="163"/>
      <c r="D434" s="164"/>
      <c r="E434" s="164"/>
      <c r="F434" s="164"/>
      <c r="G434" s="164"/>
      <c r="H434" s="164"/>
    </row>
    <row r="435" spans="1:8" ht="16.5">
      <c r="A435" s="134"/>
      <c r="B435" s="137"/>
      <c r="C435" s="163"/>
      <c r="D435" s="164"/>
      <c r="E435" s="164"/>
      <c r="F435" s="164"/>
      <c r="G435" s="164"/>
      <c r="H435" s="164"/>
    </row>
    <row r="436" spans="1:8" ht="16.5">
      <c r="A436" s="134"/>
      <c r="B436" s="137"/>
      <c r="C436" s="163"/>
      <c r="D436" s="164"/>
      <c r="E436" s="164"/>
      <c r="F436" s="164"/>
      <c r="G436" s="164"/>
      <c r="H436" s="164"/>
    </row>
    <row r="437" spans="1:8" ht="16.5">
      <c r="A437" s="134"/>
      <c r="B437" s="137"/>
      <c r="C437" s="163"/>
      <c r="D437" s="164"/>
      <c r="E437" s="164"/>
      <c r="F437" s="164"/>
      <c r="G437" s="164"/>
      <c r="H437" s="164"/>
    </row>
    <row r="438" spans="1:8" ht="16.5">
      <c r="A438" s="134"/>
      <c r="B438" s="137"/>
      <c r="C438" s="163"/>
      <c r="D438" s="164"/>
      <c r="E438" s="164"/>
      <c r="F438" s="164"/>
      <c r="G438" s="164"/>
      <c r="H438" s="164"/>
    </row>
    <row r="439" spans="1:8" ht="16.5">
      <c r="A439" s="134"/>
      <c r="B439" s="137"/>
      <c r="C439" s="163"/>
      <c r="D439" s="164"/>
      <c r="E439" s="164"/>
      <c r="F439" s="164"/>
      <c r="G439" s="164"/>
      <c r="H439" s="164"/>
    </row>
    <row r="440" spans="1:8" ht="16.5">
      <c r="A440" s="134"/>
      <c r="B440" s="137"/>
      <c r="C440" s="163"/>
      <c r="D440" s="164"/>
      <c r="E440" s="164"/>
      <c r="F440" s="164"/>
      <c r="G440" s="164"/>
      <c r="H440" s="164"/>
    </row>
    <row r="441" spans="1:8" ht="16.5">
      <c r="A441" s="134"/>
      <c r="B441" s="137"/>
      <c r="C441" s="163"/>
      <c r="D441" s="164"/>
      <c r="E441" s="164"/>
      <c r="F441" s="164"/>
      <c r="G441" s="164"/>
      <c r="H441" s="164"/>
    </row>
    <row r="442" spans="1:8" ht="16.5">
      <c r="A442" s="134"/>
      <c r="B442" s="137"/>
      <c r="C442" s="163"/>
      <c r="D442" s="164"/>
      <c r="E442" s="164"/>
      <c r="F442" s="164"/>
      <c r="G442" s="164"/>
      <c r="H442" s="164"/>
    </row>
    <row r="443" spans="1:8" ht="16.5">
      <c r="A443" s="134"/>
      <c r="B443" s="137"/>
      <c r="C443" s="163"/>
      <c r="D443" s="164"/>
      <c r="E443" s="164"/>
      <c r="F443" s="164"/>
      <c r="G443" s="164"/>
      <c r="H443" s="164"/>
    </row>
    <row r="444" spans="1:8" ht="16.5">
      <c r="A444" s="134"/>
      <c r="B444" s="137"/>
      <c r="C444" s="163"/>
      <c r="D444" s="164"/>
      <c r="E444" s="164"/>
      <c r="F444" s="164"/>
      <c r="G444" s="164"/>
      <c r="H444" s="164"/>
    </row>
    <row r="445" spans="1:8" ht="16.5">
      <c r="A445" s="134"/>
      <c r="B445" s="137"/>
      <c r="C445" s="163"/>
      <c r="D445" s="164"/>
      <c r="E445" s="164"/>
      <c r="F445" s="164"/>
      <c r="G445" s="164"/>
      <c r="H445" s="164"/>
    </row>
    <row r="446" spans="1:8" ht="16.5">
      <c r="A446" s="134"/>
      <c r="B446" s="137"/>
      <c r="C446" s="163"/>
      <c r="D446" s="164"/>
      <c r="E446" s="164"/>
      <c r="F446" s="164"/>
      <c r="G446" s="164"/>
      <c r="H446" s="164"/>
    </row>
    <row r="447" spans="1:8" ht="16.5">
      <c r="A447" s="134"/>
      <c r="B447" s="137"/>
      <c r="C447" s="163"/>
      <c r="D447" s="164"/>
      <c r="E447" s="164"/>
      <c r="F447" s="164"/>
      <c r="G447" s="164"/>
      <c r="H447" s="164"/>
    </row>
    <row r="448" spans="1:8" ht="16.5">
      <c r="A448" s="134"/>
      <c r="B448" s="137"/>
      <c r="C448" s="163"/>
      <c r="D448" s="164"/>
      <c r="E448" s="164"/>
      <c r="F448" s="164"/>
      <c r="G448" s="164"/>
      <c r="H448" s="164"/>
    </row>
    <row r="449" spans="1:8" ht="16.5">
      <c r="A449" s="134"/>
      <c r="B449" s="137"/>
      <c r="C449" s="163"/>
      <c r="D449" s="164"/>
      <c r="E449" s="164"/>
      <c r="F449" s="164"/>
      <c r="G449" s="164"/>
      <c r="H449" s="164"/>
    </row>
    <row r="450" spans="1:8" ht="16.5">
      <c r="A450" s="134"/>
      <c r="B450" s="137"/>
      <c r="C450" s="163"/>
      <c r="D450" s="164"/>
      <c r="E450" s="164"/>
      <c r="F450" s="164"/>
      <c r="G450" s="164"/>
      <c r="H450" s="164"/>
    </row>
    <row r="451" spans="1:8" ht="16.5">
      <c r="A451" s="134"/>
      <c r="B451" s="137"/>
      <c r="C451" s="163"/>
      <c r="D451" s="164"/>
      <c r="E451" s="164"/>
      <c r="F451" s="164"/>
      <c r="G451" s="164"/>
      <c r="H451" s="164"/>
    </row>
    <row r="452" spans="1:8" ht="16.5">
      <c r="A452" s="134"/>
      <c r="B452" s="137"/>
      <c r="C452" s="163"/>
      <c r="D452" s="164"/>
      <c r="E452" s="164"/>
      <c r="F452" s="164"/>
      <c r="G452" s="164"/>
      <c r="H452" s="164"/>
    </row>
    <row r="453" spans="1:8" ht="16.5">
      <c r="A453" s="134"/>
      <c r="B453" s="137"/>
      <c r="C453" s="163"/>
      <c r="D453" s="164"/>
      <c r="E453" s="164"/>
      <c r="F453" s="164"/>
      <c r="G453" s="164"/>
      <c r="H453" s="164"/>
    </row>
    <row r="454" spans="1:8" ht="16.5">
      <c r="A454" s="134"/>
      <c r="B454" s="137"/>
      <c r="C454" s="163"/>
      <c r="D454" s="164"/>
      <c r="E454" s="164"/>
      <c r="F454" s="164"/>
      <c r="G454" s="164"/>
      <c r="H454" s="164"/>
    </row>
    <row r="455" spans="1:8" ht="16.5">
      <c r="A455" s="134"/>
      <c r="B455" s="137"/>
      <c r="C455" s="163"/>
      <c r="D455" s="164"/>
      <c r="E455" s="164"/>
      <c r="F455" s="164"/>
      <c r="G455" s="164"/>
      <c r="H455" s="164"/>
    </row>
    <row r="456" spans="1:8" ht="16.5">
      <c r="A456" s="134"/>
      <c r="B456" s="137"/>
      <c r="C456" s="163"/>
      <c r="D456" s="164"/>
      <c r="E456" s="164"/>
      <c r="F456" s="164"/>
      <c r="G456" s="164"/>
      <c r="H456" s="164"/>
    </row>
    <row r="457" spans="1:8" ht="16.5">
      <c r="A457" s="134"/>
      <c r="B457" s="137"/>
      <c r="C457" s="163"/>
      <c r="D457" s="164"/>
      <c r="E457" s="164"/>
      <c r="F457" s="164"/>
      <c r="G457" s="164"/>
      <c r="H457" s="164"/>
    </row>
    <row r="458" spans="1:8" ht="16.5">
      <c r="A458" s="134"/>
      <c r="B458" s="137"/>
      <c r="C458" s="163"/>
      <c r="D458" s="164"/>
      <c r="E458" s="164"/>
      <c r="F458" s="164"/>
      <c r="G458" s="164"/>
      <c r="H458" s="164"/>
    </row>
    <row r="459" spans="1:8" ht="16.5">
      <c r="A459" s="134"/>
      <c r="B459" s="137"/>
      <c r="C459" s="163"/>
      <c r="D459" s="164"/>
      <c r="E459" s="164"/>
      <c r="F459" s="164"/>
      <c r="G459" s="164"/>
      <c r="H459" s="164"/>
    </row>
    <row r="460" spans="1:8" ht="16.5">
      <c r="A460" s="134"/>
      <c r="B460" s="137"/>
      <c r="C460" s="163"/>
      <c r="D460" s="164"/>
      <c r="E460" s="164"/>
      <c r="F460" s="164"/>
      <c r="G460" s="164"/>
      <c r="H460" s="164"/>
    </row>
    <row r="461" spans="1:8" ht="16.5">
      <c r="A461" s="134"/>
      <c r="B461" s="137"/>
      <c r="C461" s="163"/>
      <c r="D461" s="164"/>
      <c r="E461" s="164"/>
      <c r="F461" s="164"/>
      <c r="G461" s="164"/>
      <c r="H461" s="164"/>
    </row>
    <row r="462" spans="1:8">
      <c r="A462" s="165"/>
      <c r="B462" s="166"/>
      <c r="C462" s="167"/>
      <c r="D462" s="168"/>
      <c r="E462" s="168"/>
      <c r="F462" s="168"/>
      <c r="G462" s="168"/>
      <c r="H462" s="168"/>
    </row>
    <row r="463" spans="1:8">
      <c r="A463" s="165"/>
      <c r="B463" s="166"/>
      <c r="C463" s="167"/>
      <c r="D463" s="168"/>
      <c r="E463" s="168"/>
      <c r="F463" s="168"/>
      <c r="G463" s="168"/>
      <c r="H463" s="168"/>
    </row>
    <row r="464" spans="1:8">
      <c r="A464" s="165"/>
      <c r="B464" s="166"/>
      <c r="C464" s="167"/>
      <c r="D464" s="168"/>
      <c r="E464" s="168"/>
      <c r="F464" s="168"/>
      <c r="G464" s="168"/>
      <c r="H464" s="168"/>
    </row>
    <row r="465" spans="1:8">
      <c r="A465" s="165"/>
      <c r="B465" s="166"/>
      <c r="C465" s="167"/>
      <c r="D465" s="168"/>
      <c r="E465" s="168"/>
      <c r="F465" s="168"/>
      <c r="G465" s="168"/>
      <c r="H465" s="168"/>
    </row>
    <row r="466" spans="1:8">
      <c r="A466" s="165"/>
      <c r="B466" s="166"/>
      <c r="C466" s="167"/>
      <c r="D466" s="168"/>
      <c r="E466" s="168"/>
      <c r="F466" s="168"/>
      <c r="G466" s="168"/>
      <c r="H466" s="168"/>
    </row>
    <row r="467" spans="1:8">
      <c r="A467" s="165"/>
      <c r="B467" s="166"/>
      <c r="C467" s="167"/>
      <c r="D467" s="168"/>
      <c r="E467" s="168"/>
      <c r="F467" s="168"/>
      <c r="G467" s="168"/>
      <c r="H467" s="168"/>
    </row>
    <row r="468" spans="1:8">
      <c r="A468" s="165"/>
      <c r="B468" s="166"/>
      <c r="C468" s="167"/>
      <c r="D468" s="168"/>
      <c r="E468" s="168"/>
      <c r="F468" s="168"/>
      <c r="G468" s="168"/>
      <c r="H468" s="168"/>
    </row>
    <row r="469" spans="1:8">
      <c r="A469" s="165"/>
      <c r="B469" s="166"/>
      <c r="C469" s="167"/>
      <c r="D469" s="168"/>
      <c r="E469" s="168"/>
      <c r="F469" s="168"/>
      <c r="G469" s="168"/>
      <c r="H469" s="168"/>
    </row>
    <row r="470" spans="1:8">
      <c r="A470" s="165"/>
      <c r="B470" s="166"/>
      <c r="C470" s="167"/>
      <c r="D470" s="168"/>
      <c r="E470" s="168"/>
      <c r="F470" s="168"/>
      <c r="G470" s="168"/>
      <c r="H470" s="168"/>
    </row>
    <row r="471" spans="1:8">
      <c r="A471" s="165"/>
      <c r="B471" s="166"/>
      <c r="C471" s="167"/>
      <c r="D471" s="168"/>
      <c r="E471" s="168"/>
      <c r="F471" s="168"/>
      <c r="G471" s="168"/>
      <c r="H471" s="168"/>
    </row>
    <row r="472" spans="1:8">
      <c r="A472" s="165"/>
      <c r="B472" s="166"/>
      <c r="C472" s="167"/>
      <c r="D472" s="168"/>
      <c r="E472" s="168"/>
      <c r="F472" s="168"/>
      <c r="G472" s="168"/>
      <c r="H472" s="168"/>
    </row>
    <row r="473" spans="1:8">
      <c r="A473" s="165"/>
      <c r="B473" s="166"/>
      <c r="C473" s="167"/>
      <c r="D473" s="168"/>
      <c r="E473" s="168"/>
      <c r="F473" s="168"/>
      <c r="G473" s="168"/>
      <c r="H473" s="168"/>
    </row>
    <row r="474" spans="1:8">
      <c r="A474" s="165"/>
      <c r="B474" s="166"/>
      <c r="C474" s="167"/>
      <c r="D474" s="168"/>
      <c r="E474" s="168"/>
      <c r="F474" s="168"/>
      <c r="G474" s="168"/>
      <c r="H474" s="168"/>
    </row>
    <row r="475" spans="1:8">
      <c r="A475" s="165"/>
      <c r="B475" s="166"/>
      <c r="C475" s="167"/>
      <c r="D475" s="168"/>
      <c r="E475" s="168"/>
      <c r="F475" s="168"/>
      <c r="G475" s="168"/>
      <c r="H475" s="168"/>
    </row>
    <row r="476" spans="1:8">
      <c r="A476" s="165"/>
      <c r="B476" s="166"/>
      <c r="C476" s="167"/>
      <c r="D476" s="168"/>
      <c r="E476" s="168"/>
      <c r="F476" s="168"/>
      <c r="G476" s="168"/>
      <c r="H476" s="168"/>
    </row>
    <row r="477" spans="1:8">
      <c r="A477" s="165"/>
      <c r="B477" s="166"/>
      <c r="C477" s="167"/>
      <c r="D477" s="168"/>
      <c r="E477" s="168"/>
      <c r="F477" s="168"/>
      <c r="G477" s="168"/>
      <c r="H477" s="168"/>
    </row>
    <row r="478" spans="1:8">
      <c r="A478" s="165"/>
      <c r="B478" s="166"/>
      <c r="C478" s="167"/>
      <c r="D478" s="168"/>
      <c r="E478" s="168"/>
      <c r="F478" s="168"/>
      <c r="G478" s="168"/>
      <c r="H478" s="168"/>
    </row>
    <row r="479" spans="1:8">
      <c r="A479" s="165"/>
      <c r="B479" s="166"/>
      <c r="C479" s="167"/>
      <c r="D479" s="168"/>
      <c r="E479" s="168"/>
      <c r="F479" s="168"/>
      <c r="G479" s="168"/>
      <c r="H479" s="168"/>
    </row>
    <row r="480" spans="1:8">
      <c r="A480" s="165"/>
      <c r="B480" s="166"/>
      <c r="C480" s="167"/>
      <c r="D480" s="168"/>
      <c r="E480" s="168"/>
      <c r="F480" s="168"/>
      <c r="G480" s="168"/>
      <c r="H480" s="168"/>
    </row>
    <row r="481" spans="1:8">
      <c r="A481" s="165"/>
      <c r="B481" s="166"/>
      <c r="C481" s="167"/>
      <c r="D481" s="168"/>
      <c r="E481" s="168"/>
      <c r="F481" s="168"/>
      <c r="G481" s="168"/>
      <c r="H481" s="168"/>
    </row>
    <row r="482" spans="1:8">
      <c r="A482" s="165"/>
      <c r="B482" s="166"/>
      <c r="C482" s="167"/>
      <c r="D482" s="168"/>
      <c r="E482" s="168"/>
      <c r="F482" s="168"/>
      <c r="G482" s="168"/>
      <c r="H482" s="168"/>
    </row>
    <row r="483" spans="1:8">
      <c r="A483" s="165"/>
      <c r="B483" s="166"/>
      <c r="C483" s="167"/>
      <c r="D483" s="168"/>
      <c r="E483" s="168"/>
      <c r="F483" s="168"/>
      <c r="G483" s="168"/>
      <c r="H483" s="168"/>
    </row>
    <row r="484" spans="1:8">
      <c r="A484" s="165"/>
      <c r="B484" s="166"/>
      <c r="C484" s="167"/>
      <c r="D484" s="168"/>
      <c r="E484" s="168"/>
      <c r="F484" s="168"/>
      <c r="G484" s="168"/>
      <c r="H484" s="168"/>
    </row>
    <row r="485" spans="1:8">
      <c r="A485" s="165"/>
      <c r="B485" s="166"/>
      <c r="C485" s="167"/>
      <c r="D485" s="168"/>
      <c r="E485" s="168"/>
      <c r="F485" s="168"/>
      <c r="G485" s="168"/>
      <c r="H485" s="168"/>
    </row>
    <row r="486" spans="1:8">
      <c r="A486" s="165"/>
      <c r="B486" s="166"/>
      <c r="C486" s="167"/>
      <c r="D486" s="168"/>
      <c r="E486" s="168"/>
      <c r="F486" s="168"/>
      <c r="G486" s="168"/>
      <c r="H486" s="168"/>
    </row>
    <row r="487" spans="1:8">
      <c r="A487" s="165"/>
      <c r="B487" s="166"/>
      <c r="C487" s="167"/>
      <c r="D487" s="168"/>
      <c r="E487" s="168"/>
      <c r="F487" s="168"/>
      <c r="G487" s="168"/>
      <c r="H487" s="168"/>
    </row>
    <row r="488" spans="1:8">
      <c r="A488" s="165"/>
      <c r="B488" s="166"/>
      <c r="C488" s="167"/>
      <c r="D488" s="168"/>
      <c r="E488" s="168"/>
      <c r="F488" s="168"/>
      <c r="G488" s="168"/>
      <c r="H488" s="168"/>
    </row>
    <row r="489" spans="1:8">
      <c r="A489" s="165"/>
      <c r="B489" s="166"/>
      <c r="C489" s="167"/>
      <c r="D489" s="168"/>
      <c r="E489" s="168"/>
      <c r="F489" s="168"/>
      <c r="G489" s="168"/>
      <c r="H489" s="168"/>
    </row>
    <row r="490" spans="1:8">
      <c r="A490" s="165"/>
      <c r="B490" s="166"/>
      <c r="C490" s="167"/>
      <c r="D490" s="168"/>
      <c r="E490" s="168"/>
      <c r="F490" s="168"/>
      <c r="G490" s="168"/>
      <c r="H490" s="168"/>
    </row>
    <row r="491" spans="1:8">
      <c r="A491" s="165"/>
      <c r="B491" s="166"/>
      <c r="C491" s="167"/>
      <c r="D491" s="168"/>
      <c r="E491" s="168"/>
      <c r="F491" s="168"/>
      <c r="G491" s="168"/>
      <c r="H491" s="168"/>
    </row>
    <row r="492" spans="1:8">
      <c r="A492" s="165"/>
      <c r="B492" s="166"/>
      <c r="C492" s="167"/>
      <c r="D492" s="168"/>
      <c r="E492" s="168"/>
      <c r="F492" s="168"/>
      <c r="G492" s="168"/>
      <c r="H492" s="168"/>
    </row>
    <row r="493" spans="1:8">
      <c r="A493" s="165"/>
      <c r="B493" s="166"/>
      <c r="C493" s="167"/>
      <c r="D493" s="168"/>
      <c r="E493" s="168"/>
      <c r="F493" s="168"/>
      <c r="G493" s="168"/>
      <c r="H493" s="168"/>
    </row>
    <row r="494" spans="1:8">
      <c r="A494" s="165"/>
      <c r="B494" s="166"/>
      <c r="C494" s="167"/>
      <c r="D494" s="168"/>
      <c r="E494" s="168"/>
      <c r="F494" s="168"/>
      <c r="G494" s="168"/>
      <c r="H494" s="168"/>
    </row>
    <row r="495" spans="1:8">
      <c r="A495" s="165"/>
      <c r="B495" s="166"/>
      <c r="C495" s="167"/>
      <c r="D495" s="168"/>
      <c r="E495" s="168"/>
      <c r="F495" s="168"/>
      <c r="G495" s="168"/>
      <c r="H495" s="168"/>
    </row>
    <row r="496" spans="1:8">
      <c r="A496" s="165"/>
      <c r="B496" s="166"/>
      <c r="C496" s="167"/>
      <c r="D496" s="168"/>
      <c r="E496" s="168"/>
      <c r="F496" s="168"/>
      <c r="G496" s="168"/>
      <c r="H496" s="168"/>
    </row>
    <row r="497" spans="1:8">
      <c r="A497" s="165"/>
      <c r="B497" s="166"/>
      <c r="C497" s="167"/>
      <c r="D497" s="168"/>
      <c r="E497" s="168"/>
      <c r="F497" s="168"/>
      <c r="G497" s="168"/>
      <c r="H497" s="168"/>
    </row>
    <row r="498" spans="1:8">
      <c r="A498" s="165"/>
      <c r="B498" s="166"/>
      <c r="C498" s="167"/>
      <c r="D498" s="168"/>
      <c r="E498" s="168"/>
      <c r="F498" s="168"/>
      <c r="G498" s="168"/>
      <c r="H498" s="168"/>
    </row>
    <row r="499" spans="1:8">
      <c r="A499" s="165"/>
      <c r="B499" s="166"/>
      <c r="C499" s="167"/>
      <c r="D499" s="168"/>
      <c r="E499" s="168"/>
      <c r="F499" s="168"/>
      <c r="G499" s="168"/>
      <c r="H499" s="168"/>
    </row>
    <row r="500" spans="1:8">
      <c r="A500" s="165"/>
      <c r="B500" s="166"/>
      <c r="C500" s="167"/>
      <c r="D500" s="168"/>
      <c r="E500" s="168"/>
      <c r="F500" s="168"/>
      <c r="G500" s="168"/>
      <c r="H500" s="168"/>
    </row>
    <row r="501" spans="1:8">
      <c r="A501" s="165"/>
      <c r="B501" s="166"/>
      <c r="C501" s="167"/>
      <c r="D501" s="168"/>
      <c r="E501" s="168"/>
      <c r="F501" s="168"/>
      <c r="G501" s="168"/>
      <c r="H501" s="168"/>
    </row>
    <row r="502" spans="1:8">
      <c r="A502" s="165"/>
      <c r="B502" s="166"/>
      <c r="C502" s="167"/>
      <c r="D502" s="168"/>
      <c r="E502" s="168"/>
      <c r="F502" s="168"/>
      <c r="G502" s="168"/>
      <c r="H502" s="168"/>
    </row>
    <row r="503" spans="1:8">
      <c r="A503" s="165"/>
      <c r="B503" s="166"/>
      <c r="C503" s="167"/>
      <c r="D503" s="168"/>
      <c r="E503" s="168"/>
      <c r="F503" s="168"/>
      <c r="G503" s="168"/>
      <c r="H503" s="168"/>
    </row>
    <row r="504" spans="1:8">
      <c r="A504" s="165"/>
      <c r="B504" s="166"/>
      <c r="C504" s="167"/>
      <c r="D504" s="168"/>
      <c r="E504" s="168"/>
      <c r="F504" s="168"/>
      <c r="G504" s="168"/>
      <c r="H504" s="168"/>
    </row>
    <row r="505" spans="1:8">
      <c r="A505" s="165"/>
      <c r="B505" s="166"/>
      <c r="C505" s="167"/>
      <c r="D505" s="168"/>
      <c r="E505" s="168"/>
      <c r="F505" s="168"/>
      <c r="G505" s="168"/>
      <c r="H505" s="168"/>
    </row>
    <row r="506" spans="1:8">
      <c r="A506" s="165"/>
      <c r="B506" s="166"/>
      <c r="C506" s="167"/>
      <c r="D506" s="168"/>
      <c r="E506" s="168"/>
      <c r="F506" s="168"/>
      <c r="G506" s="168"/>
      <c r="H506" s="168"/>
    </row>
    <row r="507" spans="1:8">
      <c r="A507" s="165"/>
      <c r="B507" s="166"/>
      <c r="C507" s="167"/>
      <c r="D507" s="168"/>
      <c r="E507" s="168"/>
      <c r="F507" s="168"/>
      <c r="G507" s="168"/>
      <c r="H507" s="168"/>
    </row>
    <row r="508" spans="1:8">
      <c r="A508" s="165"/>
      <c r="B508" s="166"/>
      <c r="C508" s="167"/>
      <c r="D508" s="168"/>
      <c r="E508" s="168"/>
      <c r="F508" s="168"/>
      <c r="G508" s="168"/>
      <c r="H508" s="168"/>
    </row>
    <row r="509" spans="1:8">
      <c r="A509" s="169"/>
      <c r="B509" s="170"/>
      <c r="C509" s="171"/>
      <c r="D509" s="172"/>
      <c r="E509" s="172"/>
      <c r="F509" s="172"/>
      <c r="G509" s="172"/>
      <c r="H509" s="172"/>
    </row>
    <row r="510" spans="1:8">
      <c r="A510" s="169"/>
      <c r="B510" s="170"/>
      <c r="C510" s="171"/>
      <c r="D510" s="172"/>
      <c r="E510" s="172"/>
      <c r="F510" s="172"/>
      <c r="G510" s="172"/>
      <c r="H510" s="172"/>
    </row>
    <row r="511" spans="1:8">
      <c r="A511" s="169"/>
      <c r="B511" s="170"/>
      <c r="C511" s="171"/>
      <c r="D511" s="172"/>
      <c r="E511" s="172"/>
      <c r="F511" s="172"/>
      <c r="G511" s="172"/>
      <c r="H511" s="172"/>
    </row>
    <row r="512" spans="1:8">
      <c r="A512" s="169"/>
      <c r="B512" s="170"/>
      <c r="C512" s="171"/>
      <c r="D512" s="172"/>
      <c r="E512" s="172"/>
      <c r="F512" s="172"/>
      <c r="G512" s="172"/>
      <c r="H512" s="172"/>
    </row>
    <row r="513" spans="1:8">
      <c r="A513" s="169"/>
      <c r="B513" s="170"/>
      <c r="C513" s="171"/>
      <c r="D513" s="172"/>
      <c r="E513" s="172"/>
      <c r="F513" s="172"/>
      <c r="G513" s="172"/>
      <c r="H513" s="172"/>
    </row>
    <row r="514" spans="1:8">
      <c r="A514" s="169"/>
      <c r="B514" s="170"/>
      <c r="C514" s="171"/>
      <c r="D514" s="172"/>
      <c r="E514" s="172"/>
      <c r="F514" s="172"/>
      <c r="G514" s="172"/>
      <c r="H514" s="172"/>
    </row>
    <row r="515" spans="1:8">
      <c r="A515" s="169"/>
      <c r="B515" s="170"/>
      <c r="C515" s="171"/>
      <c r="D515" s="172"/>
      <c r="E515" s="172"/>
      <c r="F515" s="172"/>
      <c r="G515" s="172"/>
      <c r="H515" s="172"/>
    </row>
    <row r="516" spans="1:8">
      <c r="A516" s="169"/>
      <c r="B516" s="170"/>
      <c r="C516" s="171"/>
      <c r="D516" s="172"/>
      <c r="E516" s="172"/>
      <c r="F516" s="172"/>
      <c r="G516" s="172"/>
      <c r="H516" s="172"/>
    </row>
    <row r="517" spans="1:8">
      <c r="A517" s="169"/>
      <c r="B517" s="170"/>
      <c r="C517" s="171"/>
      <c r="D517" s="172"/>
      <c r="E517" s="172"/>
      <c r="F517" s="172"/>
      <c r="G517" s="172"/>
      <c r="H517" s="172"/>
    </row>
    <row r="518" spans="1:8">
      <c r="A518" s="169"/>
      <c r="B518" s="170"/>
      <c r="C518" s="171"/>
      <c r="D518" s="172"/>
      <c r="E518" s="172"/>
      <c r="F518" s="172"/>
      <c r="G518" s="172"/>
      <c r="H518" s="172"/>
    </row>
    <row r="519" spans="1:8">
      <c r="A519" s="169"/>
      <c r="B519" s="170"/>
      <c r="C519" s="171"/>
      <c r="D519" s="172"/>
      <c r="E519" s="172"/>
      <c r="F519" s="172"/>
      <c r="G519" s="172"/>
      <c r="H519" s="172"/>
    </row>
    <row r="520" spans="1:8">
      <c r="A520" s="169"/>
      <c r="B520" s="170"/>
      <c r="C520" s="171"/>
      <c r="D520" s="172"/>
      <c r="E520" s="172"/>
      <c r="F520" s="172"/>
      <c r="G520" s="172"/>
      <c r="H520" s="172"/>
    </row>
    <row r="521" spans="1:8">
      <c r="A521" s="169"/>
      <c r="B521" s="170"/>
      <c r="C521" s="171"/>
      <c r="D521" s="172"/>
      <c r="E521" s="172"/>
      <c r="F521" s="172"/>
      <c r="G521" s="172"/>
      <c r="H521" s="172"/>
    </row>
    <row r="522" spans="1:8">
      <c r="A522" s="169"/>
      <c r="B522" s="170"/>
      <c r="C522" s="171"/>
      <c r="D522" s="172"/>
      <c r="E522" s="172"/>
      <c r="F522" s="172"/>
      <c r="G522" s="172"/>
      <c r="H522" s="172"/>
    </row>
    <row r="523" spans="1:8">
      <c r="A523" s="169"/>
      <c r="B523" s="170"/>
      <c r="C523" s="171"/>
      <c r="D523" s="172"/>
      <c r="E523" s="172"/>
      <c r="F523" s="172"/>
      <c r="G523" s="172"/>
      <c r="H523" s="172"/>
    </row>
    <row r="524" spans="1:8">
      <c r="A524" s="169"/>
      <c r="B524" s="170"/>
      <c r="C524" s="171"/>
      <c r="D524" s="172"/>
      <c r="E524" s="172"/>
      <c r="F524" s="172"/>
      <c r="G524" s="172"/>
      <c r="H524" s="172"/>
    </row>
    <row r="525" spans="1:8">
      <c r="A525" s="169"/>
      <c r="B525" s="170"/>
      <c r="C525" s="171"/>
      <c r="D525" s="172"/>
      <c r="E525" s="172"/>
      <c r="F525" s="172"/>
      <c r="G525" s="172"/>
      <c r="H525" s="172"/>
    </row>
    <row r="526" spans="1:8">
      <c r="A526" s="169"/>
      <c r="B526" s="170"/>
      <c r="C526" s="171"/>
      <c r="D526" s="172"/>
      <c r="E526" s="172"/>
      <c r="F526" s="172"/>
      <c r="G526" s="172"/>
      <c r="H526" s="172"/>
    </row>
    <row r="527" spans="1:8">
      <c r="A527" s="169"/>
      <c r="B527" s="170"/>
      <c r="C527" s="171"/>
      <c r="D527" s="172"/>
      <c r="E527" s="172"/>
      <c r="F527" s="172"/>
      <c r="G527" s="172"/>
      <c r="H527" s="172"/>
    </row>
    <row r="528" spans="1:8">
      <c r="A528" s="169"/>
      <c r="B528" s="170"/>
      <c r="C528" s="170"/>
      <c r="D528" s="172"/>
      <c r="E528" s="172"/>
      <c r="F528" s="172"/>
      <c r="G528" s="172"/>
      <c r="H528" s="172"/>
    </row>
    <row r="529" spans="1:8">
      <c r="A529" s="169"/>
      <c r="B529" s="170"/>
      <c r="C529" s="170"/>
      <c r="D529" s="172"/>
      <c r="E529" s="172"/>
      <c r="F529" s="172"/>
      <c r="G529" s="172"/>
      <c r="H529" s="172"/>
    </row>
    <row r="530" spans="1:8">
      <c r="A530" s="169"/>
      <c r="B530" s="170"/>
      <c r="C530" s="170"/>
      <c r="D530" s="172"/>
      <c r="E530" s="172"/>
      <c r="F530" s="172"/>
      <c r="G530" s="172"/>
      <c r="H530" s="172"/>
    </row>
    <row r="531" spans="1:8">
      <c r="A531" s="169"/>
      <c r="B531" s="170"/>
      <c r="C531" s="170"/>
      <c r="D531" s="172"/>
      <c r="E531" s="172"/>
      <c r="F531" s="172"/>
      <c r="G531" s="172"/>
      <c r="H531" s="172"/>
    </row>
    <row r="532" spans="1:8">
      <c r="A532" s="169"/>
      <c r="B532" s="170"/>
      <c r="C532" s="170"/>
      <c r="D532" s="172"/>
      <c r="E532" s="172"/>
      <c r="F532" s="172"/>
      <c r="G532" s="172"/>
      <c r="H532" s="172"/>
    </row>
    <row r="533" spans="1:8">
      <c r="A533" s="169"/>
      <c r="B533" s="170"/>
      <c r="C533" s="170"/>
      <c r="D533" s="172"/>
      <c r="E533" s="172"/>
      <c r="F533" s="172"/>
      <c r="G533" s="172"/>
      <c r="H533" s="172"/>
    </row>
    <row r="534" spans="1:8">
      <c r="A534" s="169"/>
      <c r="B534" s="170"/>
      <c r="C534" s="170"/>
      <c r="D534" s="172"/>
      <c r="E534" s="172"/>
      <c r="F534" s="172"/>
      <c r="G534" s="172"/>
      <c r="H534" s="172"/>
    </row>
    <row r="535" spans="1:8">
      <c r="A535" s="169"/>
      <c r="B535" s="170"/>
      <c r="C535" s="170"/>
      <c r="D535" s="172"/>
      <c r="E535" s="172"/>
      <c r="F535" s="172"/>
      <c r="G535" s="172"/>
      <c r="H535" s="172"/>
    </row>
    <row r="536" spans="1:8">
      <c r="A536" s="169"/>
      <c r="B536" s="170"/>
      <c r="C536" s="170"/>
      <c r="D536" s="172"/>
      <c r="E536" s="172"/>
      <c r="F536" s="172"/>
      <c r="G536" s="172"/>
      <c r="H536" s="172"/>
    </row>
    <row r="537" spans="1:8">
      <c r="A537" s="169"/>
      <c r="B537" s="170"/>
      <c r="C537" s="170"/>
      <c r="D537" s="172"/>
      <c r="E537" s="172"/>
      <c r="F537" s="172"/>
      <c r="G537" s="172"/>
      <c r="H537" s="172"/>
    </row>
    <row r="538" spans="1:8">
      <c r="A538" s="169"/>
      <c r="B538" s="170"/>
      <c r="C538" s="170"/>
      <c r="D538" s="172"/>
      <c r="E538" s="172"/>
      <c r="F538" s="172"/>
      <c r="G538" s="172"/>
      <c r="H538" s="172"/>
    </row>
    <row r="539" spans="1:8">
      <c r="A539" s="169"/>
      <c r="B539" s="170"/>
      <c r="C539" s="170"/>
      <c r="D539" s="172"/>
      <c r="E539" s="172"/>
      <c r="F539" s="172"/>
      <c r="G539" s="172"/>
      <c r="H539" s="172"/>
    </row>
    <row r="540" spans="1:8">
      <c r="A540" s="169"/>
      <c r="B540" s="170"/>
      <c r="C540" s="170"/>
      <c r="D540" s="172"/>
      <c r="E540" s="172"/>
      <c r="F540" s="172"/>
      <c r="G540" s="172"/>
      <c r="H540" s="172"/>
    </row>
    <row r="541" spans="1:8">
      <c r="A541" s="169"/>
      <c r="B541" s="170"/>
      <c r="C541" s="170"/>
      <c r="D541" s="172"/>
      <c r="E541" s="172"/>
      <c r="F541" s="172"/>
      <c r="G541" s="172"/>
      <c r="H541" s="172"/>
    </row>
    <row r="542" spans="1:8">
      <c r="A542" s="169"/>
      <c r="B542" s="170"/>
      <c r="C542" s="170"/>
      <c r="D542" s="172"/>
      <c r="E542" s="172"/>
      <c r="F542" s="172"/>
      <c r="G542" s="172"/>
      <c r="H542" s="172"/>
    </row>
    <row r="543" spans="1:8">
      <c r="A543" s="169"/>
      <c r="B543" s="170"/>
      <c r="C543" s="170"/>
      <c r="D543" s="172"/>
      <c r="E543" s="172"/>
      <c r="F543" s="172"/>
      <c r="G543" s="172"/>
      <c r="H543" s="172"/>
    </row>
    <row r="544" spans="1:8">
      <c r="A544" s="169"/>
      <c r="B544" s="170"/>
      <c r="C544" s="170"/>
      <c r="D544" s="172"/>
      <c r="E544" s="172"/>
      <c r="F544" s="172"/>
      <c r="G544" s="172"/>
      <c r="H544" s="172"/>
    </row>
    <row r="545" spans="1:8">
      <c r="A545" s="169"/>
      <c r="B545" s="170"/>
      <c r="C545" s="170"/>
      <c r="D545" s="172"/>
      <c r="E545" s="172"/>
      <c r="F545" s="172"/>
      <c r="G545" s="172"/>
      <c r="H545" s="172"/>
    </row>
    <row r="546" spans="1:8">
      <c r="A546" s="169"/>
      <c r="B546" s="170"/>
      <c r="C546" s="170"/>
      <c r="D546" s="172"/>
      <c r="E546" s="172"/>
      <c r="F546" s="172"/>
      <c r="G546" s="172"/>
      <c r="H546" s="172"/>
    </row>
    <row r="547" spans="1:8">
      <c r="A547" s="169"/>
      <c r="B547" s="170"/>
      <c r="C547" s="170"/>
      <c r="D547" s="172"/>
      <c r="E547" s="172"/>
      <c r="F547" s="172"/>
      <c r="G547" s="172"/>
      <c r="H547" s="172"/>
    </row>
    <row r="548" spans="1:8">
      <c r="A548" s="169"/>
      <c r="B548" s="170"/>
      <c r="C548" s="170"/>
      <c r="D548" s="172"/>
      <c r="E548" s="172"/>
      <c r="F548" s="172"/>
      <c r="G548" s="172"/>
      <c r="H548" s="172"/>
    </row>
    <row r="549" spans="1:8">
      <c r="A549" s="169"/>
      <c r="B549" s="170"/>
      <c r="C549" s="170"/>
      <c r="D549" s="172"/>
      <c r="E549" s="172"/>
      <c r="F549" s="172"/>
      <c r="G549" s="172"/>
      <c r="H549" s="172"/>
    </row>
    <row r="550" spans="1:8">
      <c r="A550" s="169"/>
      <c r="B550" s="170"/>
      <c r="C550" s="170"/>
      <c r="D550" s="172"/>
      <c r="E550" s="172"/>
      <c r="F550" s="172"/>
      <c r="G550" s="172"/>
      <c r="H550" s="172"/>
    </row>
    <row r="551" spans="1:8">
      <c r="A551" s="169"/>
      <c r="B551" s="170"/>
      <c r="C551" s="170"/>
      <c r="D551" s="172"/>
      <c r="E551" s="172"/>
      <c r="F551" s="172"/>
      <c r="G551" s="172"/>
      <c r="H551" s="172"/>
    </row>
    <row r="552" spans="1:8">
      <c r="A552" s="169"/>
      <c r="B552" s="170"/>
      <c r="C552" s="170"/>
      <c r="D552" s="172"/>
      <c r="E552" s="172"/>
      <c r="F552" s="172"/>
      <c r="G552" s="172"/>
      <c r="H552" s="172"/>
    </row>
    <row r="553" spans="1:8">
      <c r="A553" s="169"/>
      <c r="B553" s="170"/>
      <c r="C553" s="170"/>
      <c r="D553" s="172"/>
      <c r="E553" s="172"/>
      <c r="F553" s="172"/>
      <c r="G553" s="172"/>
      <c r="H553" s="172"/>
    </row>
    <row r="554" spans="1:8">
      <c r="A554" s="169"/>
      <c r="B554" s="170"/>
      <c r="C554" s="170"/>
      <c r="D554" s="172"/>
      <c r="E554" s="172"/>
      <c r="F554" s="172"/>
      <c r="G554" s="172"/>
      <c r="H554" s="172"/>
    </row>
    <row r="555" spans="1:8">
      <c r="A555" s="169"/>
      <c r="B555" s="170"/>
      <c r="C555" s="170"/>
      <c r="D555" s="172"/>
      <c r="E555" s="172"/>
      <c r="F555" s="172"/>
      <c r="G555" s="172"/>
      <c r="H555" s="172"/>
    </row>
    <row r="556" spans="1:8">
      <c r="A556" s="169"/>
      <c r="B556" s="170"/>
      <c r="C556" s="170"/>
      <c r="D556" s="172"/>
      <c r="E556" s="172"/>
      <c r="F556" s="172"/>
      <c r="G556" s="172"/>
      <c r="H556" s="172"/>
    </row>
    <row r="557" spans="1:8">
      <c r="A557" s="169"/>
      <c r="B557" s="170"/>
      <c r="C557" s="170"/>
      <c r="D557" s="172"/>
      <c r="E557" s="172"/>
      <c r="F557" s="172"/>
      <c r="G557" s="172"/>
      <c r="H557" s="172"/>
    </row>
    <row r="558" spans="1:8">
      <c r="A558" s="169"/>
      <c r="B558" s="170"/>
      <c r="C558" s="170"/>
      <c r="D558" s="172"/>
      <c r="E558" s="172"/>
      <c r="F558" s="172"/>
      <c r="G558" s="172"/>
      <c r="H558" s="172"/>
    </row>
    <row r="559" spans="1:8">
      <c r="A559" s="169"/>
      <c r="B559" s="170"/>
      <c r="C559" s="170"/>
      <c r="D559" s="172"/>
      <c r="E559" s="172"/>
      <c r="F559" s="172"/>
      <c r="G559" s="172"/>
      <c r="H559" s="172"/>
    </row>
    <row r="560" spans="1:8">
      <c r="A560" s="169"/>
      <c r="B560" s="170"/>
      <c r="C560" s="170"/>
      <c r="D560" s="172"/>
      <c r="E560" s="172"/>
      <c r="F560" s="172"/>
      <c r="G560" s="172"/>
      <c r="H560" s="172"/>
    </row>
    <row r="561" spans="1:8">
      <c r="A561" s="169"/>
      <c r="B561" s="170"/>
      <c r="C561" s="170"/>
      <c r="D561" s="172"/>
      <c r="E561" s="172"/>
      <c r="F561" s="172"/>
      <c r="G561" s="172"/>
      <c r="H561" s="172"/>
    </row>
    <row r="562" spans="1:8">
      <c r="A562" s="169"/>
      <c r="B562" s="170"/>
      <c r="C562" s="170"/>
      <c r="D562" s="172"/>
      <c r="E562" s="172"/>
      <c r="F562" s="172"/>
      <c r="G562" s="172"/>
      <c r="H562" s="172"/>
    </row>
    <row r="563" spans="1:8">
      <c r="A563" s="169"/>
      <c r="B563" s="170"/>
      <c r="C563" s="170"/>
      <c r="D563" s="172"/>
      <c r="E563" s="172"/>
      <c r="F563" s="172"/>
      <c r="G563" s="172"/>
      <c r="H563" s="172"/>
    </row>
    <row r="564" spans="1:8">
      <c r="A564" s="169"/>
      <c r="B564" s="170"/>
      <c r="C564" s="170"/>
      <c r="D564" s="172"/>
      <c r="E564" s="172"/>
      <c r="F564" s="172"/>
      <c r="G564" s="172"/>
      <c r="H564" s="172"/>
    </row>
    <row r="565" spans="1:8">
      <c r="A565" s="169"/>
      <c r="B565" s="170"/>
      <c r="C565" s="170"/>
      <c r="D565" s="172"/>
      <c r="E565" s="172"/>
      <c r="F565" s="172"/>
      <c r="G565" s="172"/>
      <c r="H565" s="172"/>
    </row>
    <row r="566" spans="1:8">
      <c r="A566" s="169"/>
      <c r="B566" s="170"/>
      <c r="C566" s="170"/>
      <c r="D566" s="172"/>
      <c r="E566" s="172"/>
      <c r="F566" s="172"/>
      <c r="G566" s="172"/>
      <c r="H566" s="172"/>
    </row>
    <row r="567" spans="1:8">
      <c r="A567" s="169"/>
      <c r="B567" s="170"/>
      <c r="C567" s="170"/>
      <c r="D567" s="172"/>
      <c r="E567" s="172"/>
      <c r="F567" s="172"/>
      <c r="G567" s="172"/>
      <c r="H567" s="172"/>
    </row>
    <row r="568" spans="1:8">
      <c r="A568" s="169"/>
      <c r="B568" s="170"/>
      <c r="C568" s="170"/>
      <c r="D568" s="172"/>
      <c r="E568" s="172"/>
      <c r="F568" s="172"/>
      <c r="G568" s="172"/>
      <c r="H568" s="172"/>
    </row>
    <row r="569" spans="1:8">
      <c r="A569" s="169"/>
      <c r="B569" s="170"/>
      <c r="C569" s="170"/>
      <c r="D569" s="172"/>
      <c r="E569" s="172"/>
      <c r="F569" s="172"/>
      <c r="G569" s="172"/>
      <c r="H569" s="172"/>
    </row>
    <row r="570" spans="1:8">
      <c r="A570" s="169"/>
      <c r="B570" s="170"/>
      <c r="C570" s="170"/>
      <c r="D570" s="172"/>
      <c r="E570" s="172"/>
      <c r="F570" s="172"/>
      <c r="G570" s="172"/>
      <c r="H570" s="172"/>
    </row>
    <row r="571" spans="1:8">
      <c r="A571" s="169"/>
      <c r="B571" s="170"/>
      <c r="C571" s="170"/>
      <c r="D571" s="172"/>
      <c r="E571" s="172"/>
      <c r="F571" s="172"/>
      <c r="G571" s="172"/>
      <c r="H571" s="172"/>
    </row>
    <row r="572" spans="1:8">
      <c r="A572" s="169"/>
      <c r="B572" s="170"/>
      <c r="C572" s="170"/>
      <c r="D572" s="170"/>
      <c r="E572" s="170"/>
      <c r="F572" s="170"/>
      <c r="G572" s="170"/>
      <c r="H572" s="170"/>
    </row>
    <row r="573" spans="1:8">
      <c r="A573" s="169"/>
      <c r="B573" s="170"/>
      <c r="C573" s="170"/>
      <c r="D573" s="170"/>
      <c r="E573" s="170"/>
      <c r="F573" s="170"/>
      <c r="G573" s="170"/>
      <c r="H573" s="170"/>
    </row>
    <row r="574" spans="1:8">
      <c r="A574" s="169"/>
      <c r="B574" s="170"/>
      <c r="C574" s="170"/>
      <c r="D574" s="170"/>
      <c r="E574" s="170"/>
      <c r="F574" s="170"/>
      <c r="G574" s="170"/>
      <c r="H574" s="170"/>
    </row>
    <row r="575" spans="1:8">
      <c r="A575" s="169"/>
      <c r="B575" s="170"/>
      <c r="C575" s="170"/>
      <c r="D575" s="170"/>
      <c r="E575" s="170"/>
      <c r="F575" s="170"/>
      <c r="G575" s="170"/>
      <c r="H575" s="170"/>
    </row>
    <row r="576" spans="1:8">
      <c r="A576" s="169"/>
      <c r="B576" s="170"/>
      <c r="C576" s="170"/>
      <c r="D576" s="170"/>
      <c r="E576" s="170"/>
      <c r="F576" s="170"/>
      <c r="G576" s="170"/>
      <c r="H576" s="170"/>
    </row>
    <row r="577" spans="1:8">
      <c r="A577" s="169"/>
      <c r="B577" s="170"/>
      <c r="C577" s="170"/>
      <c r="D577" s="170"/>
      <c r="E577" s="170"/>
      <c r="F577" s="170"/>
      <c r="G577" s="170"/>
      <c r="H577" s="170"/>
    </row>
    <row r="578" spans="1:8">
      <c r="A578" s="169"/>
      <c r="B578" s="170"/>
      <c r="C578" s="170"/>
      <c r="D578" s="170"/>
      <c r="E578" s="170"/>
      <c r="F578" s="170"/>
      <c r="G578" s="170"/>
      <c r="H578" s="170"/>
    </row>
    <row r="579" spans="1:8">
      <c r="A579" s="169"/>
      <c r="B579" s="170"/>
      <c r="C579" s="170"/>
      <c r="D579" s="170"/>
      <c r="E579" s="170"/>
      <c r="F579" s="170"/>
      <c r="G579" s="170"/>
      <c r="H579" s="170"/>
    </row>
    <row r="580" spans="1:8">
      <c r="A580" s="169"/>
      <c r="B580" s="170"/>
      <c r="C580" s="170"/>
      <c r="D580" s="170"/>
      <c r="E580" s="170"/>
      <c r="F580" s="170"/>
      <c r="G580" s="170"/>
      <c r="H580" s="170"/>
    </row>
    <row r="581" spans="1:8">
      <c r="A581" s="169"/>
      <c r="B581" s="170"/>
      <c r="C581" s="170"/>
      <c r="D581" s="170"/>
      <c r="E581" s="170"/>
      <c r="F581" s="170"/>
      <c r="G581" s="170"/>
      <c r="H581" s="170"/>
    </row>
    <row r="582" spans="1:8">
      <c r="A582" s="169"/>
      <c r="B582" s="170"/>
      <c r="C582" s="170"/>
      <c r="D582" s="170"/>
      <c r="E582" s="170"/>
      <c r="F582" s="170"/>
      <c r="G582" s="170"/>
      <c r="H582" s="170"/>
    </row>
    <row r="583" spans="1:8">
      <c r="A583" s="169"/>
      <c r="B583" s="170"/>
      <c r="C583" s="170"/>
      <c r="D583" s="170"/>
      <c r="E583" s="170"/>
      <c r="F583" s="170"/>
      <c r="G583" s="170"/>
      <c r="H583" s="170"/>
    </row>
    <row r="584" spans="1:8">
      <c r="A584" s="169"/>
      <c r="B584" s="170"/>
      <c r="C584" s="170"/>
      <c r="D584" s="170"/>
      <c r="E584" s="170"/>
      <c r="F584" s="170"/>
      <c r="G584" s="170"/>
      <c r="H584" s="170"/>
    </row>
    <row r="585" spans="1:8">
      <c r="A585" s="169"/>
      <c r="B585" s="170"/>
      <c r="C585" s="170"/>
      <c r="D585" s="170"/>
      <c r="E585" s="170"/>
      <c r="F585" s="170"/>
      <c r="G585" s="170"/>
      <c r="H585" s="170"/>
    </row>
    <row r="586" spans="1:8">
      <c r="A586" s="169"/>
      <c r="B586" s="170"/>
      <c r="C586" s="170"/>
      <c r="D586" s="170"/>
      <c r="E586" s="170"/>
      <c r="F586" s="170"/>
      <c r="G586" s="170"/>
      <c r="H586" s="170"/>
    </row>
    <row r="587" spans="1:8">
      <c r="A587" s="169"/>
      <c r="B587" s="170"/>
      <c r="C587" s="170"/>
      <c r="D587" s="170"/>
      <c r="E587" s="170"/>
      <c r="F587" s="170"/>
      <c r="G587" s="170"/>
      <c r="H587" s="170"/>
    </row>
    <row r="588" spans="1:8">
      <c r="A588" s="169"/>
      <c r="B588" s="170"/>
      <c r="C588" s="170"/>
      <c r="D588" s="170"/>
      <c r="E588" s="170"/>
      <c r="F588" s="170"/>
      <c r="G588" s="170"/>
      <c r="H588" s="170"/>
    </row>
    <row r="589" spans="1:8">
      <c r="A589" s="169"/>
      <c r="B589" s="170"/>
      <c r="C589" s="170"/>
      <c r="D589" s="170"/>
      <c r="E589" s="170"/>
      <c r="F589" s="170"/>
      <c r="G589" s="170"/>
      <c r="H589" s="170"/>
    </row>
    <row r="590" spans="1:8">
      <c r="A590" s="169"/>
      <c r="B590" s="170"/>
      <c r="C590" s="170"/>
      <c r="D590" s="170"/>
      <c r="E590" s="170"/>
      <c r="F590" s="170"/>
      <c r="G590" s="170"/>
      <c r="H590" s="170"/>
    </row>
    <row r="591" spans="1:8">
      <c r="A591" s="169"/>
      <c r="B591" s="170"/>
      <c r="C591" s="170"/>
      <c r="D591" s="170"/>
      <c r="E591" s="170"/>
      <c r="F591" s="170"/>
      <c r="G591" s="170"/>
      <c r="H591" s="170"/>
    </row>
    <row r="592" spans="1:8">
      <c r="A592" s="169"/>
      <c r="B592" s="170"/>
      <c r="C592" s="170"/>
      <c r="D592" s="170"/>
      <c r="E592" s="170"/>
      <c r="F592" s="170"/>
      <c r="G592" s="170"/>
      <c r="H592" s="170"/>
    </row>
    <row r="593" spans="1:8">
      <c r="A593" s="169"/>
      <c r="B593" s="170"/>
      <c r="C593" s="170"/>
      <c r="D593" s="170"/>
      <c r="E593" s="170"/>
      <c r="F593" s="170"/>
      <c r="G593" s="170"/>
      <c r="H593" s="170"/>
    </row>
    <row r="594" spans="1:8">
      <c r="A594" s="169"/>
      <c r="B594" s="170"/>
      <c r="C594" s="170"/>
      <c r="D594" s="170"/>
      <c r="E594" s="170"/>
      <c r="F594" s="170"/>
      <c r="G594" s="170"/>
      <c r="H594" s="170"/>
    </row>
    <row r="595" spans="1:8">
      <c r="A595" s="169"/>
      <c r="B595" s="170"/>
      <c r="C595" s="170"/>
      <c r="D595" s="170"/>
      <c r="E595" s="170"/>
      <c r="F595" s="170"/>
      <c r="G595" s="170"/>
      <c r="H595" s="170"/>
    </row>
    <row r="596" spans="1:8">
      <c r="A596" s="169"/>
      <c r="B596" s="170"/>
      <c r="C596" s="170"/>
      <c r="D596" s="170"/>
      <c r="E596" s="170"/>
      <c r="F596" s="170"/>
      <c r="G596" s="170"/>
      <c r="H596" s="170"/>
    </row>
    <row r="597" spans="1:8">
      <c r="A597" s="169"/>
      <c r="B597" s="170"/>
      <c r="C597" s="170"/>
      <c r="D597" s="170"/>
      <c r="E597" s="170"/>
      <c r="F597" s="170"/>
      <c r="G597" s="170"/>
      <c r="H597" s="170"/>
    </row>
    <row r="598" spans="1:8">
      <c r="A598" s="169"/>
      <c r="B598" s="170"/>
      <c r="C598" s="170"/>
      <c r="D598" s="170"/>
      <c r="E598" s="170"/>
      <c r="F598" s="170"/>
      <c r="G598" s="170"/>
      <c r="H598" s="170"/>
    </row>
    <row r="599" spans="1:8">
      <c r="A599" s="169"/>
      <c r="B599" s="170"/>
      <c r="C599" s="170"/>
      <c r="D599" s="170"/>
      <c r="E599" s="170"/>
      <c r="F599" s="170"/>
      <c r="G599" s="170"/>
      <c r="H599" s="170"/>
    </row>
    <row r="600" spans="1:8">
      <c r="A600" s="169"/>
      <c r="B600" s="170"/>
      <c r="C600" s="170"/>
      <c r="D600" s="170"/>
      <c r="E600" s="170"/>
      <c r="F600" s="170"/>
      <c r="G600" s="170"/>
      <c r="H600" s="170"/>
    </row>
    <row r="601" spans="1:8">
      <c r="A601" s="169"/>
      <c r="B601" s="170"/>
      <c r="C601" s="170"/>
      <c r="D601" s="170"/>
      <c r="E601" s="170"/>
      <c r="F601" s="170"/>
      <c r="G601" s="170"/>
      <c r="H601" s="170"/>
    </row>
    <row r="602" spans="1:8">
      <c r="A602" s="169"/>
      <c r="B602" s="170"/>
      <c r="C602" s="170"/>
      <c r="D602" s="170"/>
      <c r="E602" s="170"/>
      <c r="F602" s="170"/>
      <c r="G602" s="170"/>
      <c r="H602" s="170"/>
    </row>
    <row r="603" spans="1:8">
      <c r="A603" s="169"/>
      <c r="B603" s="170"/>
      <c r="C603" s="170"/>
      <c r="D603" s="170"/>
      <c r="E603" s="170"/>
      <c r="F603" s="170"/>
      <c r="G603" s="170"/>
      <c r="H603" s="170"/>
    </row>
    <row r="604" spans="1:8">
      <c r="A604" s="169"/>
      <c r="B604" s="170"/>
      <c r="C604" s="170"/>
      <c r="D604" s="170"/>
      <c r="E604" s="170"/>
      <c r="F604" s="170"/>
      <c r="G604" s="170"/>
      <c r="H604" s="170"/>
    </row>
    <row r="605" spans="1:8">
      <c r="A605" s="169"/>
      <c r="B605" s="170"/>
      <c r="C605" s="170"/>
      <c r="D605" s="170"/>
      <c r="E605" s="170"/>
      <c r="F605" s="170"/>
      <c r="G605" s="170"/>
      <c r="H605" s="170"/>
    </row>
    <row r="606" spans="1:8">
      <c r="A606" s="169"/>
      <c r="B606" s="170"/>
      <c r="C606" s="170"/>
      <c r="D606" s="170"/>
      <c r="E606" s="170"/>
      <c r="F606" s="170"/>
      <c r="G606" s="170"/>
      <c r="H606" s="170"/>
    </row>
    <row r="607" spans="1:8">
      <c r="A607" s="169"/>
      <c r="B607" s="170"/>
      <c r="C607" s="170"/>
      <c r="D607" s="170"/>
      <c r="E607" s="170"/>
      <c r="F607" s="170"/>
      <c r="G607" s="170"/>
      <c r="H607" s="170"/>
    </row>
    <row r="608" spans="1:8">
      <c r="A608" s="169"/>
      <c r="B608" s="170"/>
      <c r="C608" s="170"/>
      <c r="D608" s="170"/>
      <c r="E608" s="170"/>
      <c r="F608" s="170"/>
      <c r="G608" s="170"/>
      <c r="H608" s="170"/>
    </row>
    <row r="609" spans="1:8">
      <c r="A609" s="169"/>
      <c r="B609" s="170"/>
      <c r="C609" s="170"/>
      <c r="D609" s="170"/>
      <c r="E609" s="170"/>
      <c r="F609" s="170"/>
      <c r="G609" s="170"/>
      <c r="H609" s="170"/>
    </row>
    <row r="610" spans="1:8">
      <c r="A610" s="169"/>
      <c r="B610" s="170"/>
      <c r="C610" s="170"/>
      <c r="D610" s="170"/>
      <c r="E610" s="170"/>
      <c r="F610" s="170"/>
      <c r="G610" s="170"/>
      <c r="H610" s="170"/>
    </row>
    <row r="611" spans="1:8">
      <c r="A611" s="169"/>
      <c r="B611" s="170"/>
      <c r="C611" s="170"/>
      <c r="D611" s="170"/>
      <c r="E611" s="170"/>
      <c r="F611" s="170"/>
      <c r="G611" s="170"/>
      <c r="H611" s="170"/>
    </row>
    <row r="612" spans="1:8">
      <c r="A612" s="169"/>
      <c r="B612" s="170"/>
      <c r="C612" s="170"/>
      <c r="D612" s="170"/>
      <c r="E612" s="170"/>
      <c r="F612" s="170"/>
      <c r="G612" s="170"/>
      <c r="H612" s="170"/>
    </row>
    <row r="613" spans="1:8">
      <c r="A613" s="169"/>
      <c r="B613" s="170"/>
      <c r="C613" s="170"/>
      <c r="D613" s="170"/>
      <c r="E613" s="170"/>
      <c r="F613" s="170"/>
      <c r="G613" s="170"/>
      <c r="H613" s="170"/>
    </row>
    <row r="614" spans="1:8">
      <c r="A614" s="169"/>
      <c r="B614" s="170"/>
      <c r="C614" s="170"/>
      <c r="D614" s="170"/>
      <c r="E614" s="170"/>
      <c r="F614" s="170"/>
      <c r="G614" s="170"/>
      <c r="H614" s="170"/>
    </row>
    <row r="615" spans="1:8">
      <c r="A615" s="169"/>
      <c r="B615" s="170"/>
      <c r="C615" s="170"/>
      <c r="D615" s="170"/>
      <c r="E615" s="170"/>
      <c r="F615" s="170"/>
      <c r="G615" s="170"/>
      <c r="H615" s="170"/>
    </row>
    <row r="616" spans="1:8">
      <c r="A616" s="169"/>
      <c r="B616" s="170"/>
      <c r="C616" s="170"/>
      <c r="D616" s="170"/>
      <c r="E616" s="170"/>
      <c r="F616" s="170"/>
      <c r="G616" s="170"/>
      <c r="H616" s="170"/>
    </row>
    <row r="617" spans="1:8">
      <c r="A617" s="169"/>
      <c r="B617" s="170"/>
      <c r="C617" s="170"/>
      <c r="D617" s="170"/>
      <c r="E617" s="170"/>
      <c r="F617" s="170"/>
      <c r="G617" s="170"/>
      <c r="H617" s="170"/>
    </row>
    <row r="618" spans="1:8">
      <c r="A618" s="169"/>
      <c r="B618" s="170"/>
      <c r="C618" s="170"/>
      <c r="D618" s="170"/>
      <c r="E618" s="170"/>
      <c r="F618" s="170"/>
      <c r="G618" s="170"/>
      <c r="H618" s="170"/>
    </row>
    <row r="619" spans="1:8">
      <c r="A619" s="169"/>
      <c r="B619" s="170"/>
      <c r="C619" s="170"/>
      <c r="D619" s="170"/>
      <c r="E619" s="170"/>
      <c r="F619" s="170"/>
      <c r="G619" s="170"/>
      <c r="H619" s="170"/>
    </row>
    <row r="620" spans="1:8">
      <c r="A620" s="169"/>
      <c r="B620" s="170"/>
      <c r="C620" s="170"/>
      <c r="D620" s="170"/>
      <c r="E620" s="170"/>
      <c r="F620" s="170"/>
      <c r="G620" s="170"/>
      <c r="H620" s="170"/>
    </row>
    <row r="621" spans="1:8">
      <c r="A621" s="169"/>
      <c r="B621" s="170"/>
      <c r="C621" s="170"/>
      <c r="D621" s="170"/>
      <c r="E621" s="170"/>
      <c r="F621" s="170"/>
      <c r="G621" s="170"/>
      <c r="H621" s="170"/>
    </row>
    <row r="622" spans="1:8">
      <c r="A622" s="169"/>
      <c r="B622" s="170"/>
      <c r="C622" s="170"/>
      <c r="D622" s="170"/>
      <c r="E622" s="170"/>
      <c r="F622" s="170"/>
      <c r="G622" s="170"/>
      <c r="H622" s="170"/>
    </row>
    <row r="623" spans="1:8">
      <c r="A623" s="169"/>
      <c r="B623" s="170"/>
      <c r="C623" s="170"/>
      <c r="D623" s="170"/>
      <c r="E623" s="170"/>
      <c r="F623" s="170"/>
      <c r="G623" s="170"/>
      <c r="H623" s="170"/>
    </row>
    <row r="624" spans="1:8">
      <c r="A624" s="169"/>
      <c r="B624" s="170"/>
      <c r="C624" s="170"/>
      <c r="D624" s="170"/>
      <c r="E624" s="170"/>
      <c r="F624" s="170"/>
      <c r="G624" s="170"/>
      <c r="H624" s="170"/>
    </row>
    <row r="625" spans="1:8">
      <c r="A625" s="169"/>
      <c r="B625" s="170"/>
      <c r="C625" s="170"/>
      <c r="D625" s="170"/>
      <c r="E625" s="170"/>
      <c r="F625" s="170"/>
      <c r="G625" s="170"/>
      <c r="H625" s="170"/>
    </row>
    <row r="626" spans="1:8">
      <c r="A626" s="169"/>
      <c r="B626" s="170"/>
      <c r="C626" s="170"/>
      <c r="D626" s="170"/>
      <c r="E626" s="170"/>
      <c r="F626" s="170"/>
      <c r="G626" s="170"/>
      <c r="H626" s="170"/>
    </row>
    <row r="627" spans="1:8">
      <c r="A627" s="169"/>
      <c r="B627" s="170"/>
      <c r="C627" s="170"/>
      <c r="D627" s="170"/>
      <c r="E627" s="170"/>
      <c r="F627" s="170"/>
      <c r="G627" s="170"/>
      <c r="H627" s="170"/>
    </row>
    <row r="628" spans="1:8">
      <c r="A628" s="169"/>
      <c r="B628" s="170"/>
      <c r="C628" s="170"/>
      <c r="D628" s="170"/>
      <c r="E628" s="170"/>
      <c r="F628" s="170"/>
      <c r="G628" s="170"/>
      <c r="H628" s="170"/>
    </row>
    <row r="629" spans="1:8">
      <c r="A629" s="169"/>
      <c r="B629" s="170"/>
      <c r="C629" s="170"/>
      <c r="D629" s="170"/>
      <c r="E629" s="170"/>
      <c r="F629" s="170"/>
      <c r="G629" s="170"/>
      <c r="H629" s="170"/>
    </row>
    <row r="630" spans="1:8">
      <c r="A630" s="169"/>
      <c r="B630" s="170"/>
      <c r="C630" s="170"/>
      <c r="D630" s="170"/>
      <c r="E630" s="170"/>
      <c r="F630" s="170"/>
      <c r="G630" s="170"/>
      <c r="H630" s="170"/>
    </row>
    <row r="631" spans="1:8">
      <c r="A631" s="169"/>
      <c r="B631" s="170"/>
      <c r="C631" s="170"/>
      <c r="D631" s="170"/>
      <c r="E631" s="170"/>
      <c r="F631" s="170"/>
      <c r="G631" s="170"/>
      <c r="H631" s="170"/>
    </row>
    <row r="632" spans="1:8">
      <c r="A632" s="169"/>
      <c r="B632" s="170"/>
      <c r="C632" s="170"/>
      <c r="D632" s="170"/>
      <c r="E632" s="170"/>
      <c r="F632" s="170"/>
      <c r="G632" s="170"/>
      <c r="H632" s="170"/>
    </row>
    <row r="633" spans="1:8">
      <c r="A633" s="169"/>
      <c r="B633" s="170"/>
      <c r="C633" s="170"/>
      <c r="D633" s="170"/>
      <c r="E633" s="170"/>
      <c r="F633" s="170"/>
      <c r="G633" s="170"/>
      <c r="H633" s="170"/>
    </row>
    <row r="634" spans="1:8">
      <c r="A634" s="169"/>
      <c r="B634" s="170"/>
      <c r="C634" s="170"/>
      <c r="D634" s="170"/>
      <c r="E634" s="170"/>
      <c r="F634" s="170"/>
      <c r="G634" s="170"/>
      <c r="H634" s="170"/>
    </row>
    <row r="635" spans="1:8">
      <c r="A635" s="169"/>
      <c r="B635" s="170"/>
      <c r="C635" s="170"/>
      <c r="D635" s="170"/>
      <c r="E635" s="170"/>
      <c r="F635" s="170"/>
      <c r="G635" s="170"/>
      <c r="H635" s="170"/>
    </row>
    <row r="636" spans="1:8">
      <c r="A636" s="169"/>
      <c r="B636" s="170"/>
      <c r="C636" s="170"/>
      <c r="D636" s="170"/>
      <c r="E636" s="170"/>
      <c r="F636" s="170"/>
      <c r="G636" s="170"/>
      <c r="H636" s="170"/>
    </row>
    <row r="637" spans="1:8">
      <c r="A637" s="169"/>
      <c r="B637" s="170"/>
      <c r="C637" s="170"/>
      <c r="D637" s="170"/>
      <c r="E637" s="170"/>
      <c r="F637" s="170"/>
      <c r="G637" s="170"/>
      <c r="H637" s="170"/>
    </row>
    <row r="638" spans="1:8">
      <c r="A638" s="169"/>
      <c r="B638" s="170"/>
      <c r="C638" s="170"/>
      <c r="D638" s="170"/>
      <c r="E638" s="170"/>
      <c r="F638" s="170"/>
      <c r="G638" s="170"/>
      <c r="H638" s="170"/>
    </row>
    <row r="639" spans="1:8">
      <c r="A639" s="169"/>
      <c r="B639" s="170"/>
      <c r="C639" s="170"/>
      <c r="D639" s="170"/>
      <c r="E639" s="170"/>
      <c r="F639" s="170"/>
      <c r="G639" s="170"/>
      <c r="H639" s="170"/>
    </row>
    <row r="640" spans="1:8">
      <c r="A640" s="169"/>
      <c r="B640" s="170"/>
      <c r="C640" s="170"/>
      <c r="D640" s="170"/>
      <c r="E640" s="170"/>
      <c r="F640" s="170"/>
      <c r="G640" s="170"/>
      <c r="H640" s="170"/>
    </row>
    <row r="641" spans="1:8">
      <c r="A641" s="169"/>
      <c r="B641" s="170"/>
      <c r="C641" s="170"/>
      <c r="D641" s="170"/>
      <c r="E641" s="170"/>
      <c r="F641" s="170"/>
      <c r="G641" s="170"/>
      <c r="H641" s="170"/>
    </row>
    <row r="642" spans="1:8">
      <c r="A642" s="169"/>
      <c r="B642" s="170"/>
      <c r="C642" s="170"/>
      <c r="D642" s="170"/>
      <c r="E642" s="170"/>
      <c r="F642" s="170"/>
      <c r="G642" s="170"/>
      <c r="H642" s="170"/>
    </row>
    <row r="643" spans="1:8">
      <c r="A643" s="169"/>
      <c r="B643" s="170"/>
      <c r="C643" s="170"/>
      <c r="D643" s="170"/>
      <c r="E643" s="170"/>
      <c r="F643" s="170"/>
      <c r="G643" s="170"/>
      <c r="H643" s="170"/>
    </row>
    <row r="644" spans="1:8">
      <c r="A644" s="169"/>
      <c r="B644" s="170"/>
      <c r="C644" s="170"/>
      <c r="D644" s="170"/>
      <c r="E644" s="170"/>
      <c r="F644" s="170"/>
      <c r="G644" s="170"/>
      <c r="H644" s="170"/>
    </row>
    <row r="645" spans="1:8">
      <c r="A645" s="169"/>
      <c r="B645" s="170"/>
      <c r="C645" s="170"/>
      <c r="D645" s="170"/>
      <c r="E645" s="170"/>
      <c r="F645" s="170"/>
      <c r="G645" s="170"/>
      <c r="H645" s="170"/>
    </row>
    <row r="646" spans="1:8">
      <c r="A646" s="169"/>
      <c r="B646" s="170"/>
      <c r="C646" s="170"/>
      <c r="D646" s="170"/>
      <c r="E646" s="170"/>
      <c r="F646" s="170"/>
      <c r="G646" s="170"/>
      <c r="H646" s="170"/>
    </row>
    <row r="647" spans="1:8">
      <c r="A647" s="169"/>
      <c r="B647" s="170"/>
      <c r="C647" s="170"/>
      <c r="D647" s="170"/>
      <c r="E647" s="170"/>
      <c r="F647" s="170"/>
      <c r="G647" s="170"/>
      <c r="H647" s="170"/>
    </row>
    <row r="648" spans="1:8">
      <c r="A648" s="169"/>
      <c r="B648" s="170"/>
      <c r="C648" s="170"/>
      <c r="D648" s="170"/>
      <c r="E648" s="170"/>
      <c r="F648" s="170"/>
      <c r="G648" s="170"/>
      <c r="H648" s="170"/>
    </row>
    <row r="649" spans="1:8">
      <c r="A649" s="169"/>
      <c r="B649" s="170"/>
      <c r="C649" s="170"/>
      <c r="D649" s="170"/>
      <c r="E649" s="170"/>
      <c r="F649" s="170"/>
      <c r="G649" s="170"/>
      <c r="H649" s="170"/>
    </row>
    <row r="650" spans="1:8">
      <c r="A650" s="169"/>
      <c r="B650" s="170"/>
      <c r="C650" s="170"/>
      <c r="D650" s="170"/>
      <c r="E650" s="170"/>
      <c r="F650" s="170"/>
      <c r="G650" s="170"/>
      <c r="H650" s="170"/>
    </row>
    <row r="651" spans="1:8">
      <c r="A651" s="169"/>
      <c r="B651" s="170"/>
      <c r="C651" s="170"/>
      <c r="D651" s="170"/>
      <c r="E651" s="170"/>
      <c r="F651" s="170"/>
      <c r="G651" s="170"/>
      <c r="H651" s="170"/>
    </row>
    <row r="652" spans="1:8">
      <c r="A652" s="169"/>
      <c r="B652" s="170"/>
      <c r="C652" s="170"/>
      <c r="D652" s="170"/>
      <c r="E652" s="170"/>
      <c r="F652" s="170"/>
      <c r="G652" s="170"/>
      <c r="H652" s="170"/>
    </row>
    <row r="653" spans="1:8">
      <c r="A653" s="169"/>
      <c r="B653" s="170"/>
      <c r="C653" s="170"/>
      <c r="D653" s="170"/>
      <c r="E653" s="170"/>
      <c r="F653" s="170"/>
      <c r="G653" s="170"/>
      <c r="H653" s="170"/>
    </row>
    <row r="654" spans="1:8">
      <c r="A654" s="169"/>
      <c r="B654" s="170"/>
      <c r="C654" s="170"/>
      <c r="D654" s="170"/>
      <c r="E654" s="170"/>
      <c r="F654" s="170"/>
      <c r="G654" s="170"/>
      <c r="H654" s="170"/>
    </row>
    <row r="655" spans="1:8">
      <c r="A655" s="169"/>
      <c r="B655" s="170"/>
      <c r="C655" s="170"/>
      <c r="D655" s="170"/>
      <c r="E655" s="170"/>
      <c r="F655" s="170"/>
      <c r="G655" s="170"/>
      <c r="H655" s="170"/>
    </row>
    <row r="656" spans="1:8">
      <c r="A656" s="169"/>
      <c r="B656" s="170"/>
      <c r="C656" s="170"/>
      <c r="D656" s="170"/>
      <c r="E656" s="170"/>
      <c r="F656" s="170"/>
      <c r="G656" s="170"/>
      <c r="H656" s="170"/>
    </row>
    <row r="657" spans="1:8">
      <c r="A657" s="169"/>
      <c r="B657" s="170"/>
      <c r="C657" s="170"/>
      <c r="D657" s="170"/>
      <c r="E657" s="170"/>
      <c r="F657" s="170"/>
      <c r="G657" s="170"/>
      <c r="H657" s="170"/>
    </row>
    <row r="658" spans="1:8">
      <c r="A658" s="169"/>
      <c r="B658" s="170"/>
      <c r="C658" s="170"/>
      <c r="D658" s="170"/>
      <c r="E658" s="170"/>
      <c r="F658" s="170"/>
      <c r="G658" s="170"/>
      <c r="H658" s="170"/>
    </row>
    <row r="659" spans="1:8">
      <c r="A659" s="169"/>
      <c r="B659" s="170"/>
      <c r="C659" s="170"/>
      <c r="D659" s="170"/>
      <c r="E659" s="170"/>
      <c r="F659" s="170"/>
      <c r="G659" s="170"/>
      <c r="H659" s="170"/>
    </row>
    <row r="660" spans="1:8">
      <c r="A660" s="169"/>
      <c r="B660" s="170"/>
      <c r="C660" s="170"/>
      <c r="D660" s="170"/>
      <c r="E660" s="170"/>
      <c r="F660" s="170"/>
      <c r="G660" s="170"/>
      <c r="H660" s="170"/>
    </row>
    <row r="661" spans="1:8">
      <c r="A661" s="169"/>
      <c r="B661" s="170"/>
      <c r="C661" s="170"/>
      <c r="D661" s="170"/>
      <c r="E661" s="170"/>
      <c r="F661" s="170"/>
      <c r="G661" s="170"/>
      <c r="H661" s="170"/>
    </row>
    <row r="662" spans="1:8">
      <c r="A662" s="169"/>
      <c r="B662" s="170"/>
      <c r="C662" s="170"/>
      <c r="D662" s="170"/>
      <c r="E662" s="170"/>
      <c r="F662" s="170"/>
      <c r="G662" s="170"/>
      <c r="H662" s="170"/>
    </row>
    <row r="663" spans="1:8">
      <c r="A663" s="169"/>
      <c r="B663" s="170"/>
      <c r="C663" s="170"/>
      <c r="D663" s="170"/>
      <c r="E663" s="170"/>
      <c r="F663" s="170"/>
      <c r="G663" s="170"/>
      <c r="H663" s="170"/>
    </row>
    <row r="664" spans="1:8">
      <c r="A664" s="169"/>
      <c r="B664" s="170"/>
      <c r="C664" s="170"/>
      <c r="D664" s="170"/>
      <c r="E664" s="170"/>
      <c r="F664" s="170"/>
      <c r="G664" s="170"/>
      <c r="H664" s="170"/>
    </row>
    <row r="665" spans="1:8">
      <c r="A665" s="169"/>
      <c r="B665" s="170"/>
      <c r="C665" s="170"/>
      <c r="D665" s="170"/>
      <c r="E665" s="170"/>
      <c r="F665" s="170"/>
      <c r="G665" s="170"/>
      <c r="H665" s="170"/>
    </row>
    <row r="666" spans="1:8">
      <c r="A666" s="169"/>
      <c r="B666" s="170"/>
      <c r="C666" s="170"/>
      <c r="D666" s="170"/>
      <c r="E666" s="170"/>
      <c r="F666" s="170"/>
      <c r="G666" s="170"/>
      <c r="H666" s="170"/>
    </row>
    <row r="667" spans="1:8">
      <c r="A667" s="169"/>
      <c r="B667" s="170"/>
      <c r="C667" s="170"/>
      <c r="D667" s="170"/>
      <c r="E667" s="170"/>
      <c r="F667" s="170"/>
      <c r="G667" s="170"/>
      <c r="H667" s="170"/>
    </row>
    <row r="668" spans="1:8">
      <c r="A668" s="169"/>
      <c r="B668" s="170"/>
      <c r="C668" s="170"/>
      <c r="D668" s="170"/>
      <c r="E668" s="170"/>
      <c r="F668" s="170"/>
      <c r="G668" s="170"/>
      <c r="H668" s="170"/>
    </row>
    <row r="669" spans="1:8">
      <c r="A669" s="169"/>
      <c r="B669" s="170"/>
      <c r="C669" s="170"/>
      <c r="D669" s="170"/>
      <c r="E669" s="170"/>
      <c r="F669" s="170"/>
      <c r="G669" s="170"/>
      <c r="H669" s="170"/>
    </row>
    <row r="670" spans="1:8">
      <c r="A670" s="169"/>
      <c r="B670" s="170"/>
      <c r="C670" s="170"/>
      <c r="D670" s="170"/>
      <c r="E670" s="170"/>
      <c r="F670" s="170"/>
      <c r="G670" s="170"/>
      <c r="H670" s="170"/>
    </row>
    <row r="671" spans="1:8">
      <c r="A671" s="169"/>
      <c r="B671" s="170"/>
      <c r="C671" s="170"/>
      <c r="D671" s="170"/>
      <c r="E671" s="170"/>
      <c r="F671" s="170"/>
      <c r="G671" s="170"/>
      <c r="H671" s="170"/>
    </row>
    <row r="672" spans="1:8">
      <c r="A672" s="169"/>
      <c r="B672" s="170"/>
      <c r="C672" s="170"/>
      <c r="D672" s="170"/>
      <c r="E672" s="170"/>
      <c r="F672" s="170"/>
      <c r="G672" s="170"/>
      <c r="H672" s="170"/>
    </row>
    <row r="673" spans="1:8">
      <c r="A673" s="169"/>
      <c r="B673" s="170"/>
      <c r="C673" s="170"/>
      <c r="D673" s="170"/>
      <c r="E673" s="170"/>
      <c r="F673" s="170"/>
      <c r="G673" s="170"/>
      <c r="H673" s="170"/>
    </row>
    <row r="674" spans="1:8">
      <c r="A674" s="169"/>
      <c r="B674" s="170"/>
      <c r="C674" s="170"/>
      <c r="D674" s="170"/>
      <c r="E674" s="170"/>
      <c r="F674" s="170"/>
      <c r="G674" s="170"/>
      <c r="H674" s="170"/>
    </row>
    <row r="675" spans="1:8">
      <c r="A675" s="169"/>
      <c r="B675" s="170"/>
      <c r="C675" s="170"/>
      <c r="D675" s="170"/>
      <c r="E675" s="170"/>
      <c r="F675" s="170"/>
      <c r="G675" s="170"/>
      <c r="H675" s="170"/>
    </row>
    <row r="676" spans="1:8">
      <c r="A676" s="169"/>
      <c r="B676" s="170"/>
      <c r="C676" s="170"/>
      <c r="D676" s="170"/>
      <c r="E676" s="170"/>
      <c r="F676" s="170"/>
      <c r="G676" s="170"/>
      <c r="H676" s="170"/>
    </row>
    <row r="677" spans="1:8">
      <c r="A677" s="169"/>
      <c r="B677" s="170"/>
      <c r="C677" s="170"/>
      <c r="D677" s="170"/>
      <c r="E677" s="170"/>
      <c r="F677" s="170"/>
      <c r="G677" s="170"/>
      <c r="H677" s="170"/>
    </row>
    <row r="678" spans="1:8">
      <c r="A678" s="169"/>
      <c r="B678" s="170"/>
      <c r="C678" s="170"/>
      <c r="D678" s="170"/>
      <c r="E678" s="170"/>
      <c r="F678" s="170"/>
      <c r="G678" s="170"/>
      <c r="H678" s="170"/>
    </row>
    <row r="679" spans="1:8">
      <c r="A679" s="169"/>
      <c r="B679" s="170"/>
      <c r="C679" s="170"/>
      <c r="D679" s="170"/>
      <c r="E679" s="170"/>
      <c r="F679" s="170"/>
      <c r="G679" s="170"/>
      <c r="H679" s="170"/>
    </row>
    <row r="680" spans="1:8">
      <c r="A680" s="169"/>
      <c r="B680" s="170"/>
      <c r="C680" s="170"/>
      <c r="D680" s="170"/>
      <c r="E680" s="170"/>
      <c r="F680" s="170"/>
      <c r="G680" s="170"/>
      <c r="H680" s="170"/>
    </row>
    <row r="681" spans="1:8">
      <c r="A681" s="169"/>
      <c r="B681" s="170"/>
      <c r="C681" s="170"/>
      <c r="D681" s="170"/>
      <c r="E681" s="170"/>
      <c r="F681" s="170"/>
      <c r="G681" s="170"/>
      <c r="H681" s="170"/>
    </row>
    <row r="682" spans="1:8">
      <c r="A682" s="169"/>
      <c r="B682" s="170"/>
      <c r="C682" s="170"/>
      <c r="D682" s="170"/>
      <c r="E682" s="170"/>
      <c r="F682" s="170"/>
      <c r="G682" s="170"/>
      <c r="H682" s="170"/>
    </row>
    <row r="683" spans="1:8">
      <c r="A683" s="169"/>
      <c r="B683" s="170"/>
      <c r="C683" s="170"/>
      <c r="D683" s="170"/>
      <c r="E683" s="170"/>
      <c r="F683" s="170"/>
      <c r="G683" s="170"/>
      <c r="H683" s="170"/>
    </row>
    <row r="684" spans="1:8">
      <c r="A684" s="169"/>
      <c r="B684" s="170"/>
      <c r="C684" s="170"/>
      <c r="D684" s="170"/>
      <c r="E684" s="170"/>
      <c r="F684" s="170"/>
      <c r="G684" s="170"/>
      <c r="H684" s="170"/>
    </row>
    <row r="685" spans="1:8">
      <c r="A685" s="169"/>
      <c r="B685" s="170"/>
      <c r="C685" s="170"/>
      <c r="D685" s="170"/>
      <c r="E685" s="170"/>
      <c r="F685" s="170"/>
      <c r="G685" s="170"/>
      <c r="H685" s="170"/>
    </row>
    <row r="686" spans="1:8">
      <c r="A686" s="169"/>
      <c r="B686" s="170"/>
      <c r="C686" s="170"/>
      <c r="D686" s="170"/>
      <c r="E686" s="170"/>
      <c r="F686" s="170"/>
      <c r="G686" s="170"/>
      <c r="H686" s="170"/>
    </row>
    <row r="687" spans="1:8">
      <c r="A687" s="169"/>
      <c r="B687" s="170"/>
      <c r="C687" s="170"/>
      <c r="D687" s="170"/>
      <c r="E687" s="170"/>
      <c r="F687" s="170"/>
      <c r="G687" s="170"/>
      <c r="H687" s="170"/>
    </row>
    <row r="688" spans="1:8">
      <c r="A688" s="169"/>
      <c r="B688" s="170"/>
      <c r="C688" s="170"/>
      <c r="D688" s="170"/>
      <c r="E688" s="170"/>
      <c r="F688" s="170"/>
      <c r="G688" s="170"/>
      <c r="H688" s="170"/>
    </row>
    <row r="689" spans="1:8">
      <c r="A689" s="169"/>
      <c r="B689" s="170"/>
      <c r="C689" s="170"/>
      <c r="D689" s="170"/>
      <c r="E689" s="170"/>
      <c r="F689" s="170"/>
      <c r="G689" s="170"/>
      <c r="H689" s="170"/>
    </row>
    <row r="690" spans="1:8">
      <c r="A690" s="169"/>
      <c r="B690" s="170"/>
      <c r="C690" s="170"/>
      <c r="D690" s="170"/>
      <c r="E690" s="170"/>
      <c r="F690" s="170"/>
      <c r="G690" s="170"/>
      <c r="H690" s="170"/>
    </row>
    <row r="691" spans="1:8">
      <c r="A691" s="169"/>
      <c r="B691" s="170"/>
      <c r="C691" s="170"/>
      <c r="D691" s="170"/>
      <c r="E691" s="170"/>
      <c r="F691" s="170"/>
      <c r="G691" s="170"/>
      <c r="H691" s="170"/>
    </row>
    <row r="692" spans="1:8">
      <c r="A692" s="169"/>
      <c r="B692" s="170"/>
      <c r="C692" s="170"/>
      <c r="D692" s="170"/>
      <c r="E692" s="170"/>
      <c r="F692" s="170"/>
      <c r="G692" s="170"/>
      <c r="H692" s="170"/>
    </row>
    <row r="693" spans="1:8">
      <c r="A693" s="169"/>
      <c r="B693" s="170"/>
      <c r="C693" s="170"/>
      <c r="D693" s="170"/>
      <c r="E693" s="170"/>
      <c r="F693" s="170"/>
      <c r="G693" s="170"/>
      <c r="H693" s="170"/>
    </row>
    <row r="694" spans="1:8">
      <c r="A694" s="169"/>
      <c r="B694" s="170"/>
      <c r="C694" s="170"/>
      <c r="D694" s="170"/>
      <c r="E694" s="170"/>
      <c r="F694" s="170"/>
      <c r="G694" s="170"/>
      <c r="H694" s="170"/>
    </row>
    <row r="695" spans="1:8">
      <c r="A695" s="169"/>
      <c r="B695" s="170"/>
      <c r="C695" s="170"/>
      <c r="D695" s="170"/>
      <c r="E695" s="170"/>
      <c r="F695" s="170"/>
      <c r="G695" s="170"/>
      <c r="H695" s="170"/>
    </row>
    <row r="696" spans="1:8">
      <c r="A696" s="169"/>
      <c r="B696" s="170"/>
      <c r="C696" s="170"/>
      <c r="D696" s="170"/>
      <c r="E696" s="170"/>
      <c r="F696" s="170"/>
      <c r="G696" s="170"/>
      <c r="H696" s="170"/>
    </row>
    <row r="697" spans="1:8">
      <c r="A697" s="169"/>
      <c r="B697" s="170"/>
      <c r="C697" s="170"/>
      <c r="D697" s="170"/>
      <c r="E697" s="170"/>
      <c r="F697" s="170"/>
      <c r="G697" s="170"/>
      <c r="H697" s="170"/>
    </row>
    <row r="698" spans="1:8">
      <c r="A698" s="169"/>
      <c r="B698" s="170"/>
      <c r="C698" s="170"/>
      <c r="D698" s="170"/>
      <c r="E698" s="170"/>
      <c r="F698" s="170"/>
      <c r="G698" s="170"/>
      <c r="H698" s="170"/>
    </row>
    <row r="699" spans="1:8">
      <c r="A699" s="169"/>
      <c r="B699" s="170"/>
      <c r="C699" s="170"/>
      <c r="D699" s="170"/>
      <c r="E699" s="170"/>
      <c r="F699" s="170"/>
      <c r="G699" s="170"/>
      <c r="H699" s="170"/>
    </row>
    <row r="700" spans="1:8">
      <c r="A700" s="169"/>
      <c r="B700" s="170"/>
      <c r="C700" s="170"/>
      <c r="D700" s="170"/>
      <c r="E700" s="170"/>
      <c r="F700" s="170"/>
      <c r="G700" s="170"/>
      <c r="H700" s="170"/>
    </row>
    <row r="701" spans="1:8">
      <c r="A701" s="169"/>
      <c r="B701" s="170"/>
      <c r="C701" s="170"/>
      <c r="D701" s="170"/>
      <c r="E701" s="170"/>
      <c r="F701" s="170"/>
      <c r="G701" s="170"/>
      <c r="H701" s="170"/>
    </row>
    <row r="702" spans="1:8">
      <c r="A702" s="169"/>
      <c r="B702" s="170"/>
      <c r="C702" s="170"/>
      <c r="D702" s="170"/>
      <c r="E702" s="170"/>
      <c r="F702" s="170"/>
      <c r="G702" s="170"/>
      <c r="H702" s="170"/>
    </row>
    <row r="703" spans="1:8">
      <c r="A703" s="169"/>
      <c r="B703" s="170"/>
      <c r="C703" s="170"/>
      <c r="D703" s="170"/>
      <c r="E703" s="170"/>
      <c r="F703" s="170"/>
      <c r="G703" s="170"/>
      <c r="H703" s="170"/>
    </row>
    <row r="704" spans="1:8">
      <c r="A704" s="169"/>
      <c r="B704" s="170"/>
      <c r="C704" s="170"/>
      <c r="D704" s="170"/>
      <c r="E704" s="170"/>
      <c r="F704" s="170"/>
      <c r="G704" s="170"/>
      <c r="H704" s="170"/>
    </row>
    <row r="705" spans="1:8">
      <c r="A705" s="169"/>
      <c r="B705" s="170"/>
      <c r="C705" s="170"/>
      <c r="D705" s="170"/>
      <c r="E705" s="170"/>
      <c r="F705" s="170"/>
      <c r="G705" s="170"/>
      <c r="H705" s="170"/>
    </row>
    <row r="706" spans="1:8">
      <c r="A706" s="169"/>
      <c r="B706" s="170"/>
      <c r="C706" s="170"/>
      <c r="D706" s="170"/>
      <c r="E706" s="170"/>
      <c r="F706" s="170"/>
      <c r="G706" s="170"/>
      <c r="H706" s="170"/>
    </row>
    <row r="707" spans="1:8">
      <c r="A707" s="169"/>
      <c r="B707" s="170"/>
      <c r="C707" s="170"/>
      <c r="D707" s="170"/>
      <c r="E707" s="170"/>
      <c r="F707" s="170"/>
      <c r="G707" s="170"/>
      <c r="H707" s="170"/>
    </row>
    <row r="708" spans="1:8">
      <c r="A708" s="169"/>
      <c r="B708" s="170"/>
      <c r="C708" s="170"/>
      <c r="D708" s="170"/>
      <c r="E708" s="170"/>
      <c r="F708" s="170"/>
      <c r="G708" s="170"/>
      <c r="H708" s="170"/>
    </row>
    <row r="709" spans="1:8">
      <c r="A709" s="169"/>
      <c r="B709" s="170"/>
      <c r="C709" s="170"/>
      <c r="D709" s="170"/>
      <c r="E709" s="170"/>
      <c r="F709" s="170"/>
      <c r="G709" s="170"/>
      <c r="H709" s="170"/>
    </row>
    <row r="710" spans="1:8">
      <c r="A710" s="169"/>
      <c r="B710" s="170"/>
      <c r="C710" s="170"/>
      <c r="D710" s="170"/>
      <c r="E710" s="170"/>
      <c r="F710" s="170"/>
      <c r="G710" s="170"/>
      <c r="H710" s="170"/>
    </row>
    <row r="711" spans="1:8">
      <c r="A711" s="169"/>
      <c r="B711" s="170"/>
      <c r="C711" s="170"/>
      <c r="D711" s="170"/>
      <c r="E711" s="170"/>
      <c r="F711" s="170"/>
      <c r="G711" s="170"/>
      <c r="H711" s="170"/>
    </row>
    <row r="712" spans="1:8">
      <c r="A712" s="169"/>
      <c r="B712" s="170"/>
      <c r="C712" s="170"/>
      <c r="D712" s="170"/>
      <c r="E712" s="170"/>
      <c r="F712" s="170"/>
      <c r="G712" s="170"/>
      <c r="H712" s="170"/>
    </row>
    <row r="713" spans="1:8">
      <c r="A713" s="169"/>
      <c r="B713" s="170"/>
      <c r="C713" s="170"/>
      <c r="D713" s="170"/>
      <c r="E713" s="170"/>
      <c r="F713" s="170"/>
      <c r="G713" s="170"/>
      <c r="H713" s="170"/>
    </row>
    <row r="714" spans="1:8">
      <c r="A714" s="169"/>
      <c r="B714" s="170"/>
      <c r="C714" s="170"/>
      <c r="D714" s="170"/>
      <c r="E714" s="170"/>
      <c r="F714" s="170"/>
      <c r="G714" s="170"/>
      <c r="H714" s="170"/>
    </row>
    <row r="715" spans="1:8">
      <c r="A715" s="169"/>
      <c r="B715" s="170"/>
      <c r="C715" s="170"/>
      <c r="D715" s="170"/>
      <c r="E715" s="170"/>
      <c r="F715" s="170"/>
      <c r="G715" s="170"/>
      <c r="H715" s="170"/>
    </row>
    <row r="716" spans="1:8">
      <c r="A716" s="169"/>
      <c r="B716" s="170"/>
      <c r="C716" s="170"/>
      <c r="D716" s="170"/>
      <c r="E716" s="170"/>
      <c r="F716" s="170"/>
      <c r="G716" s="170"/>
      <c r="H716" s="170"/>
    </row>
    <row r="717" spans="1:8">
      <c r="A717" s="169"/>
      <c r="B717" s="170"/>
      <c r="C717" s="170"/>
      <c r="D717" s="170"/>
      <c r="E717" s="170"/>
      <c r="F717" s="170"/>
      <c r="G717" s="170"/>
      <c r="H717" s="170"/>
    </row>
    <row r="718" spans="1:8">
      <c r="A718" s="169"/>
      <c r="B718" s="170"/>
      <c r="C718" s="170"/>
      <c r="D718" s="170"/>
      <c r="E718" s="170"/>
      <c r="F718" s="170"/>
      <c r="G718" s="170"/>
      <c r="H718" s="170"/>
    </row>
    <row r="719" spans="1:8">
      <c r="A719" s="169"/>
      <c r="B719" s="170"/>
      <c r="C719" s="170"/>
      <c r="D719" s="170"/>
      <c r="E719" s="170"/>
      <c r="F719" s="170"/>
      <c r="G719" s="170"/>
      <c r="H719" s="170"/>
    </row>
    <row r="720" spans="1:8">
      <c r="A720" s="169"/>
      <c r="B720" s="170"/>
      <c r="C720" s="170"/>
      <c r="D720" s="170"/>
      <c r="E720" s="170"/>
      <c r="F720" s="170"/>
      <c r="G720" s="170"/>
      <c r="H720" s="170"/>
    </row>
    <row r="721" spans="1:8">
      <c r="A721" s="169"/>
      <c r="B721" s="170"/>
      <c r="C721" s="170"/>
      <c r="D721" s="170"/>
      <c r="E721" s="170"/>
      <c r="F721" s="170"/>
      <c r="G721" s="170"/>
      <c r="H721" s="170"/>
    </row>
    <row r="722" spans="1:8">
      <c r="A722" s="169"/>
      <c r="B722" s="170"/>
      <c r="C722" s="170"/>
      <c r="D722" s="170"/>
      <c r="E722" s="170"/>
      <c r="F722" s="170"/>
      <c r="G722" s="170"/>
      <c r="H722" s="170"/>
    </row>
    <row r="723" spans="1:8">
      <c r="A723" s="169"/>
      <c r="B723" s="170"/>
      <c r="C723" s="170"/>
      <c r="D723" s="170"/>
      <c r="E723" s="170"/>
      <c r="F723" s="170"/>
      <c r="G723" s="170"/>
      <c r="H723" s="170"/>
    </row>
    <row r="724" spans="1:8">
      <c r="A724" s="169"/>
      <c r="B724" s="170"/>
      <c r="C724" s="170"/>
      <c r="D724" s="170"/>
      <c r="E724" s="170"/>
      <c r="F724" s="170"/>
      <c r="G724" s="170"/>
      <c r="H724" s="170"/>
    </row>
    <row r="725" spans="1:8">
      <c r="A725" s="169"/>
      <c r="B725" s="170"/>
      <c r="C725" s="170"/>
      <c r="D725" s="170"/>
      <c r="E725" s="170"/>
      <c r="F725" s="170"/>
      <c r="G725" s="170"/>
      <c r="H725" s="170"/>
    </row>
    <row r="726" spans="1:8">
      <c r="A726" s="169"/>
      <c r="B726" s="170"/>
      <c r="C726" s="170"/>
      <c r="D726" s="170"/>
      <c r="E726" s="170"/>
      <c r="F726" s="170"/>
      <c r="G726" s="170"/>
      <c r="H726" s="170"/>
    </row>
    <row r="727" spans="1:8">
      <c r="A727" s="169"/>
      <c r="B727" s="170"/>
      <c r="C727" s="170"/>
      <c r="D727" s="170"/>
      <c r="E727" s="170"/>
      <c r="F727" s="170"/>
      <c r="G727" s="170"/>
      <c r="H727" s="170"/>
    </row>
    <row r="728" spans="1:8">
      <c r="A728" s="169"/>
      <c r="B728" s="170"/>
      <c r="C728" s="170"/>
      <c r="D728" s="170"/>
      <c r="E728" s="170"/>
      <c r="F728" s="170"/>
      <c r="G728" s="170"/>
      <c r="H728" s="170"/>
    </row>
    <row r="729" spans="1:8">
      <c r="A729" s="169"/>
      <c r="B729" s="170"/>
      <c r="C729" s="170"/>
      <c r="D729" s="170"/>
      <c r="E729" s="170"/>
      <c r="F729" s="170"/>
      <c r="G729" s="170"/>
      <c r="H729" s="170"/>
    </row>
    <row r="730" spans="1:8">
      <c r="A730" s="169"/>
      <c r="B730" s="170"/>
      <c r="C730" s="170"/>
      <c r="D730" s="170"/>
      <c r="E730" s="170"/>
      <c r="F730" s="170"/>
      <c r="G730" s="170"/>
      <c r="H730" s="170"/>
    </row>
    <row r="731" spans="1:8">
      <c r="A731" s="169"/>
      <c r="B731" s="170"/>
      <c r="C731" s="170"/>
      <c r="D731" s="170"/>
      <c r="E731" s="170"/>
      <c r="F731" s="170"/>
      <c r="G731" s="170"/>
      <c r="H731" s="170"/>
    </row>
    <row r="732" spans="1:8">
      <c r="A732" s="169"/>
      <c r="B732" s="170"/>
      <c r="C732" s="170"/>
      <c r="D732" s="170"/>
      <c r="E732" s="170"/>
      <c r="F732" s="170"/>
      <c r="G732" s="170"/>
      <c r="H732" s="170"/>
    </row>
    <row r="733" spans="1:8">
      <c r="A733" s="169"/>
      <c r="B733" s="170"/>
      <c r="C733" s="170"/>
      <c r="D733" s="170"/>
      <c r="E733" s="170"/>
      <c r="F733" s="170"/>
      <c r="G733" s="170"/>
      <c r="H733" s="170"/>
    </row>
    <row r="734" spans="1:8">
      <c r="A734" s="169"/>
      <c r="B734" s="170"/>
      <c r="C734" s="170"/>
      <c r="D734" s="170"/>
      <c r="E734" s="170"/>
      <c r="F734" s="170"/>
      <c r="G734" s="170"/>
      <c r="H734" s="170"/>
    </row>
    <row r="735" spans="1:8">
      <c r="A735" s="169"/>
      <c r="B735" s="170"/>
      <c r="C735" s="170"/>
      <c r="D735" s="170"/>
      <c r="E735" s="170"/>
      <c r="F735" s="170"/>
      <c r="G735" s="170"/>
      <c r="H735" s="170"/>
    </row>
    <row r="736" spans="1:8">
      <c r="A736" s="169"/>
      <c r="B736" s="170"/>
      <c r="C736" s="170"/>
      <c r="D736" s="170"/>
      <c r="E736" s="170"/>
      <c r="F736" s="170"/>
      <c r="G736" s="170"/>
      <c r="H736" s="170"/>
    </row>
    <row r="737" spans="1:8">
      <c r="A737" s="169"/>
      <c r="B737" s="170"/>
      <c r="C737" s="170"/>
      <c r="D737" s="170"/>
      <c r="E737" s="170"/>
      <c r="F737" s="170"/>
      <c r="G737" s="170"/>
      <c r="H737" s="170"/>
    </row>
    <row r="738" spans="1:8">
      <c r="A738" s="169"/>
      <c r="B738" s="170"/>
      <c r="C738" s="170"/>
      <c r="D738" s="170"/>
      <c r="E738" s="170"/>
      <c r="F738" s="170"/>
      <c r="G738" s="170"/>
      <c r="H738" s="170"/>
    </row>
    <row r="739" spans="1:8">
      <c r="A739" s="169"/>
      <c r="B739" s="170"/>
      <c r="C739" s="170"/>
      <c r="D739" s="170"/>
      <c r="E739" s="170"/>
      <c r="F739" s="170"/>
      <c r="G739" s="170"/>
      <c r="H739" s="170"/>
    </row>
    <row r="740" spans="1:8">
      <c r="A740" s="169"/>
      <c r="B740" s="170"/>
      <c r="C740" s="170"/>
      <c r="D740" s="170"/>
      <c r="E740" s="170"/>
      <c r="F740" s="170"/>
      <c r="G740" s="170"/>
      <c r="H740" s="170"/>
    </row>
    <row r="741" spans="1:8">
      <c r="A741" s="169"/>
      <c r="B741" s="170"/>
      <c r="C741" s="170"/>
      <c r="D741" s="170"/>
      <c r="E741" s="170"/>
      <c r="F741" s="170"/>
      <c r="G741" s="170"/>
      <c r="H741" s="170"/>
    </row>
    <row r="742" spans="1:8">
      <c r="A742" s="169"/>
      <c r="B742" s="170"/>
      <c r="C742" s="170"/>
      <c r="D742" s="170"/>
      <c r="E742" s="170"/>
      <c r="F742" s="170"/>
      <c r="G742" s="170"/>
      <c r="H742" s="170"/>
    </row>
    <row r="743" spans="1:8">
      <c r="A743" s="169"/>
      <c r="B743" s="170"/>
      <c r="C743" s="170"/>
      <c r="D743" s="170"/>
      <c r="E743" s="170"/>
      <c r="F743" s="170"/>
      <c r="G743" s="170"/>
      <c r="H743" s="170"/>
    </row>
    <row r="744" spans="1:8">
      <c r="A744" s="169"/>
      <c r="B744" s="170"/>
      <c r="C744" s="170"/>
      <c r="D744" s="170"/>
      <c r="E744" s="170"/>
      <c r="F744" s="170"/>
      <c r="G744" s="170"/>
      <c r="H744" s="170"/>
    </row>
    <row r="745" spans="1:8">
      <c r="A745" s="169"/>
      <c r="B745" s="170"/>
      <c r="C745" s="170"/>
      <c r="D745" s="170"/>
      <c r="E745" s="170"/>
      <c r="F745" s="170"/>
      <c r="G745" s="170"/>
      <c r="H745" s="170"/>
    </row>
    <row r="746" spans="1:8">
      <c r="A746" s="169"/>
      <c r="B746" s="170"/>
      <c r="C746" s="170"/>
      <c r="D746" s="170"/>
      <c r="E746" s="170"/>
      <c r="F746" s="170"/>
      <c r="G746" s="170"/>
      <c r="H746" s="170"/>
    </row>
    <row r="747" spans="1:8">
      <c r="A747" s="169"/>
      <c r="B747" s="170"/>
      <c r="C747" s="170"/>
      <c r="D747" s="170"/>
      <c r="E747" s="170"/>
      <c r="F747" s="170"/>
      <c r="G747" s="170"/>
      <c r="H747" s="170"/>
    </row>
    <row r="748" spans="1:8">
      <c r="A748" s="169"/>
      <c r="B748" s="170"/>
      <c r="C748" s="170"/>
      <c r="D748" s="170"/>
      <c r="E748" s="170"/>
      <c r="F748" s="170"/>
      <c r="G748" s="170"/>
      <c r="H748" s="170"/>
    </row>
    <row r="749" spans="1:8">
      <c r="A749" s="169"/>
      <c r="B749" s="170"/>
      <c r="C749" s="170"/>
      <c r="D749" s="170"/>
      <c r="E749" s="170"/>
      <c r="F749" s="170"/>
      <c r="G749" s="170"/>
      <c r="H749" s="170"/>
    </row>
    <row r="750" spans="1:8">
      <c r="A750" s="169"/>
      <c r="B750" s="170"/>
      <c r="C750" s="170"/>
      <c r="D750" s="170"/>
      <c r="E750" s="170"/>
      <c r="F750" s="170"/>
      <c r="G750" s="170"/>
      <c r="H750" s="170"/>
    </row>
    <row r="751" spans="1:8">
      <c r="A751" s="169"/>
      <c r="B751" s="170"/>
      <c r="C751" s="170"/>
      <c r="D751" s="170"/>
      <c r="E751" s="170"/>
      <c r="F751" s="170"/>
      <c r="G751" s="170"/>
      <c r="H751" s="170"/>
    </row>
    <row r="752" spans="1:8">
      <c r="A752" s="169"/>
      <c r="B752" s="170"/>
      <c r="C752" s="170"/>
      <c r="D752" s="170"/>
      <c r="E752" s="170"/>
      <c r="F752" s="170"/>
      <c r="G752" s="170"/>
      <c r="H752" s="170"/>
    </row>
    <row r="753" spans="1:8">
      <c r="A753" s="169"/>
      <c r="B753" s="170"/>
      <c r="C753" s="170"/>
      <c r="D753" s="170"/>
      <c r="E753" s="170"/>
      <c r="F753" s="170"/>
      <c r="G753" s="170"/>
      <c r="H753" s="170"/>
    </row>
    <row r="754" spans="1:8">
      <c r="A754" s="169"/>
      <c r="B754" s="170"/>
      <c r="C754" s="170"/>
      <c r="D754" s="170"/>
      <c r="E754" s="170"/>
      <c r="F754" s="170"/>
      <c r="G754" s="170"/>
      <c r="H754" s="170"/>
    </row>
    <row r="755" spans="1:8">
      <c r="A755" s="169"/>
      <c r="B755" s="170"/>
      <c r="C755" s="170"/>
      <c r="D755" s="170"/>
      <c r="E755" s="170"/>
      <c r="F755" s="170"/>
      <c r="G755" s="170"/>
      <c r="H755" s="170"/>
    </row>
    <row r="756" spans="1:8">
      <c r="A756" s="169"/>
      <c r="B756" s="170"/>
      <c r="C756" s="170"/>
      <c r="D756" s="170"/>
      <c r="E756" s="170"/>
      <c r="F756" s="170"/>
      <c r="G756" s="170"/>
      <c r="H756" s="170"/>
    </row>
    <row r="757" spans="1:8">
      <c r="A757" s="169"/>
      <c r="B757" s="170"/>
      <c r="C757" s="170"/>
      <c r="D757" s="170"/>
      <c r="E757" s="170"/>
      <c r="F757" s="170"/>
      <c r="G757" s="170"/>
      <c r="H757" s="170"/>
    </row>
    <row r="758" spans="1:8">
      <c r="A758" s="169"/>
      <c r="B758" s="170"/>
      <c r="C758" s="170"/>
      <c r="D758" s="170"/>
      <c r="E758" s="170"/>
      <c r="F758" s="170"/>
      <c r="G758" s="170"/>
      <c r="H758" s="170"/>
    </row>
    <row r="759" spans="1:8">
      <c r="A759" s="169"/>
      <c r="B759" s="170"/>
      <c r="C759" s="170"/>
      <c r="D759" s="170"/>
      <c r="E759" s="170"/>
      <c r="F759" s="170"/>
      <c r="G759" s="170"/>
      <c r="H759" s="170"/>
    </row>
    <row r="760" spans="1:8">
      <c r="A760" s="169"/>
      <c r="B760" s="170"/>
      <c r="C760" s="170"/>
      <c r="D760" s="170"/>
      <c r="E760" s="170"/>
      <c r="F760" s="170"/>
      <c r="G760" s="170"/>
      <c r="H760" s="170"/>
    </row>
    <row r="761" spans="1:8">
      <c r="A761" s="169"/>
      <c r="B761" s="170"/>
      <c r="C761" s="170"/>
      <c r="D761" s="170"/>
      <c r="E761" s="170"/>
      <c r="F761" s="170"/>
      <c r="G761" s="170"/>
      <c r="H761" s="170"/>
    </row>
    <row r="762" spans="1:8">
      <c r="A762" s="169"/>
      <c r="B762" s="170"/>
      <c r="C762" s="170"/>
      <c r="D762" s="170"/>
      <c r="E762" s="170"/>
      <c r="F762" s="170"/>
      <c r="G762" s="170"/>
      <c r="H762" s="170"/>
    </row>
    <row r="763" spans="1:8">
      <c r="A763" s="169"/>
      <c r="B763" s="170"/>
      <c r="C763" s="170"/>
      <c r="D763" s="170"/>
      <c r="E763" s="170"/>
      <c r="F763" s="170"/>
      <c r="G763" s="170"/>
      <c r="H763" s="170"/>
    </row>
    <row r="764" spans="1:8">
      <c r="A764" s="169"/>
      <c r="B764" s="170"/>
      <c r="C764" s="170"/>
      <c r="D764" s="170"/>
      <c r="E764" s="170"/>
      <c r="F764" s="170"/>
      <c r="G764" s="170"/>
      <c r="H764" s="170"/>
    </row>
    <row r="765" spans="1:8">
      <c r="A765" s="169"/>
      <c r="B765" s="170"/>
      <c r="C765" s="170"/>
      <c r="D765" s="170"/>
      <c r="E765" s="170"/>
      <c r="F765" s="170"/>
      <c r="G765" s="170"/>
      <c r="H765" s="170"/>
    </row>
    <row r="766" spans="1:8">
      <c r="A766" s="169"/>
      <c r="B766" s="170"/>
      <c r="C766" s="170"/>
      <c r="D766" s="170"/>
      <c r="E766" s="170"/>
      <c r="F766" s="170"/>
      <c r="G766" s="170"/>
      <c r="H766" s="170"/>
    </row>
    <row r="767" spans="1:8">
      <c r="A767" s="169"/>
      <c r="B767" s="170"/>
      <c r="C767" s="170"/>
      <c r="D767" s="170"/>
      <c r="E767" s="170"/>
      <c r="F767" s="170"/>
      <c r="G767" s="170"/>
      <c r="H767" s="170"/>
    </row>
    <row r="768" spans="1:8">
      <c r="A768" s="169"/>
      <c r="B768" s="170"/>
      <c r="C768" s="170"/>
      <c r="D768" s="170"/>
      <c r="E768" s="170"/>
      <c r="F768" s="170"/>
      <c r="G768" s="170"/>
      <c r="H768" s="170"/>
    </row>
    <row r="769" spans="1:8">
      <c r="A769" s="169"/>
      <c r="B769" s="170"/>
      <c r="C769" s="170"/>
      <c r="D769" s="170"/>
      <c r="E769" s="170"/>
      <c r="F769" s="170"/>
      <c r="G769" s="170"/>
      <c r="H769" s="170"/>
    </row>
    <row r="770" spans="1:8">
      <c r="A770" s="169"/>
      <c r="B770" s="170"/>
      <c r="C770" s="170"/>
      <c r="D770" s="170"/>
      <c r="E770" s="170"/>
      <c r="F770" s="170"/>
      <c r="G770" s="170"/>
      <c r="H770" s="170"/>
    </row>
    <row r="771" spans="1:8">
      <c r="A771" s="169"/>
      <c r="B771" s="170"/>
      <c r="C771" s="170"/>
      <c r="D771" s="170"/>
      <c r="E771" s="170"/>
      <c r="F771" s="170"/>
      <c r="G771" s="170"/>
      <c r="H771" s="170"/>
    </row>
    <row r="772" spans="1:8">
      <c r="A772" s="169"/>
      <c r="B772" s="170"/>
      <c r="C772" s="170"/>
      <c r="D772" s="170"/>
      <c r="E772" s="170"/>
      <c r="F772" s="170"/>
      <c r="G772" s="170"/>
      <c r="H772" s="170"/>
    </row>
    <row r="773" spans="1:8">
      <c r="A773" s="169"/>
      <c r="B773" s="170"/>
      <c r="C773" s="170"/>
      <c r="D773" s="170"/>
      <c r="E773" s="170"/>
      <c r="F773" s="170"/>
      <c r="G773" s="170"/>
      <c r="H773" s="170"/>
    </row>
    <row r="774" spans="1:8">
      <c r="A774" s="169"/>
      <c r="B774" s="170"/>
      <c r="C774" s="170"/>
      <c r="D774" s="170"/>
      <c r="E774" s="170"/>
      <c r="F774" s="170"/>
      <c r="G774" s="170"/>
      <c r="H774" s="170"/>
    </row>
    <row r="775" spans="1:8">
      <c r="A775" s="169"/>
      <c r="B775" s="170"/>
      <c r="C775" s="170"/>
      <c r="D775" s="170"/>
      <c r="E775" s="170"/>
      <c r="F775" s="170"/>
      <c r="G775" s="170"/>
      <c r="H775" s="170"/>
    </row>
    <row r="776" spans="1:8">
      <c r="A776" s="169"/>
      <c r="B776" s="170"/>
      <c r="C776" s="170"/>
      <c r="D776" s="170"/>
      <c r="E776" s="170"/>
      <c r="F776" s="170"/>
      <c r="G776" s="170"/>
      <c r="H776" s="170"/>
    </row>
    <row r="777" spans="1:8">
      <c r="A777" s="169"/>
      <c r="B777" s="170"/>
      <c r="C777" s="170"/>
      <c r="D777" s="170"/>
      <c r="E777" s="170"/>
      <c r="F777" s="170"/>
      <c r="G777" s="170"/>
      <c r="H777" s="170"/>
    </row>
    <row r="778" spans="1:8">
      <c r="A778" s="169"/>
      <c r="B778" s="170"/>
      <c r="C778" s="170"/>
      <c r="D778" s="170"/>
      <c r="E778" s="170"/>
      <c r="F778" s="170"/>
      <c r="G778" s="170"/>
      <c r="H778" s="170"/>
    </row>
    <row r="779" spans="1:8">
      <c r="A779" s="169"/>
      <c r="B779" s="170"/>
      <c r="C779" s="170"/>
      <c r="D779" s="170"/>
      <c r="E779" s="170"/>
      <c r="F779" s="170"/>
      <c r="G779" s="170"/>
      <c r="H779" s="170"/>
    </row>
    <row r="780" spans="1:8">
      <c r="A780" s="169"/>
      <c r="B780" s="170"/>
      <c r="C780" s="170"/>
      <c r="D780" s="170"/>
      <c r="E780" s="170"/>
      <c r="F780" s="170"/>
      <c r="G780" s="170"/>
      <c r="H780" s="170"/>
    </row>
    <row r="781" spans="1:8">
      <c r="A781" s="169"/>
      <c r="B781" s="170"/>
      <c r="C781" s="170"/>
      <c r="D781" s="170"/>
      <c r="E781" s="170"/>
      <c r="F781" s="170"/>
      <c r="G781" s="170"/>
      <c r="H781" s="170"/>
    </row>
    <row r="782" spans="1:8">
      <c r="A782" s="169"/>
      <c r="B782" s="170"/>
      <c r="C782" s="170"/>
      <c r="D782" s="170"/>
      <c r="E782" s="170"/>
      <c r="F782" s="170"/>
      <c r="G782" s="170"/>
      <c r="H782" s="170"/>
    </row>
    <row r="783" spans="1:8">
      <c r="A783" s="169"/>
      <c r="B783" s="170"/>
      <c r="C783" s="170"/>
      <c r="D783" s="170"/>
      <c r="E783" s="170"/>
      <c r="F783" s="170"/>
      <c r="G783" s="170"/>
      <c r="H783" s="170"/>
    </row>
    <row r="784" spans="1:8">
      <c r="A784" s="169"/>
      <c r="B784" s="170"/>
      <c r="C784" s="170"/>
      <c r="D784" s="170"/>
      <c r="E784" s="170"/>
      <c r="F784" s="170"/>
      <c r="G784" s="170"/>
      <c r="H784" s="170"/>
    </row>
    <row r="785" spans="1:8">
      <c r="A785" s="169"/>
      <c r="B785" s="170"/>
      <c r="C785" s="170"/>
      <c r="D785" s="170"/>
      <c r="E785" s="170"/>
      <c r="F785" s="170"/>
      <c r="G785" s="170"/>
      <c r="H785" s="170"/>
    </row>
    <row r="786" spans="1:8">
      <c r="A786" s="169"/>
      <c r="B786" s="170"/>
      <c r="C786" s="170"/>
      <c r="D786" s="170"/>
      <c r="E786" s="170"/>
      <c r="F786" s="170"/>
      <c r="G786" s="170"/>
      <c r="H786" s="170"/>
    </row>
    <row r="787" spans="1:8">
      <c r="A787" s="169"/>
      <c r="B787" s="170"/>
      <c r="C787" s="170"/>
      <c r="D787" s="170"/>
      <c r="E787" s="170"/>
      <c r="F787" s="170"/>
      <c r="G787" s="170"/>
      <c r="H787" s="170"/>
    </row>
    <row r="788" spans="1:8">
      <c r="A788" s="169"/>
      <c r="B788" s="170"/>
      <c r="C788" s="170"/>
      <c r="D788" s="170"/>
      <c r="E788" s="170"/>
      <c r="F788" s="170"/>
      <c r="G788" s="170"/>
      <c r="H788" s="170"/>
    </row>
    <row r="789" spans="1:8">
      <c r="A789" s="169"/>
      <c r="B789" s="170"/>
      <c r="C789" s="170"/>
      <c r="D789" s="170"/>
      <c r="E789" s="170"/>
      <c r="F789" s="170"/>
      <c r="G789" s="170"/>
      <c r="H789" s="170"/>
    </row>
    <row r="790" spans="1:8">
      <c r="A790" s="169"/>
      <c r="B790" s="170"/>
      <c r="C790" s="170"/>
      <c r="D790" s="170"/>
      <c r="E790" s="170"/>
      <c r="F790" s="170"/>
      <c r="G790" s="170"/>
      <c r="H790" s="170"/>
    </row>
    <row r="791" spans="1:8">
      <c r="A791" s="169"/>
      <c r="B791" s="170"/>
      <c r="C791" s="170"/>
      <c r="D791" s="170"/>
      <c r="E791" s="170"/>
      <c r="F791" s="170"/>
      <c r="G791" s="170"/>
      <c r="H791" s="170"/>
    </row>
    <row r="792" spans="1:8">
      <c r="A792" s="169"/>
      <c r="B792" s="170"/>
      <c r="C792" s="170"/>
      <c r="D792" s="170"/>
      <c r="E792" s="170"/>
      <c r="F792" s="170"/>
      <c r="G792" s="170"/>
      <c r="H792" s="170"/>
    </row>
    <row r="793" spans="1:8">
      <c r="A793" s="169"/>
      <c r="B793" s="170"/>
      <c r="C793" s="170"/>
      <c r="D793" s="170"/>
      <c r="E793" s="170"/>
      <c r="F793" s="170"/>
      <c r="G793" s="170"/>
      <c r="H793" s="170"/>
    </row>
    <row r="794" spans="1:8">
      <c r="A794" s="169"/>
      <c r="B794" s="170"/>
      <c r="C794" s="170"/>
      <c r="D794" s="170"/>
      <c r="E794" s="170"/>
      <c r="F794" s="170"/>
      <c r="G794" s="170"/>
      <c r="H794" s="170"/>
    </row>
    <row r="795" spans="1:8">
      <c r="A795" s="169"/>
      <c r="B795" s="170"/>
      <c r="C795" s="170"/>
      <c r="D795" s="170"/>
      <c r="E795" s="170"/>
      <c r="F795" s="170"/>
      <c r="G795" s="170"/>
      <c r="H795" s="170"/>
    </row>
    <row r="796" spans="1:8">
      <c r="A796" s="169"/>
      <c r="B796" s="170"/>
      <c r="C796" s="170"/>
      <c r="D796" s="170"/>
      <c r="E796" s="170"/>
      <c r="F796" s="170"/>
      <c r="G796" s="170"/>
      <c r="H796" s="170"/>
    </row>
    <row r="797" spans="1:8">
      <c r="A797" s="169"/>
      <c r="B797" s="170"/>
      <c r="C797" s="170"/>
      <c r="D797" s="170"/>
      <c r="E797" s="170"/>
      <c r="F797" s="170"/>
      <c r="G797" s="170"/>
      <c r="H797" s="170"/>
    </row>
    <row r="798" spans="1:8">
      <c r="A798" s="169"/>
      <c r="B798" s="170"/>
      <c r="C798" s="170"/>
      <c r="D798" s="170"/>
      <c r="E798" s="170"/>
      <c r="F798" s="170"/>
      <c r="G798" s="170"/>
      <c r="H798" s="170"/>
    </row>
    <row r="799" spans="1:8">
      <c r="A799" s="169"/>
      <c r="B799" s="170"/>
      <c r="C799" s="170"/>
      <c r="D799" s="170"/>
      <c r="E799" s="170"/>
      <c r="F799" s="170"/>
      <c r="G799" s="170"/>
      <c r="H799" s="170"/>
    </row>
    <row r="800" spans="1:8">
      <c r="A800" s="169"/>
      <c r="B800" s="170"/>
      <c r="C800" s="170"/>
      <c r="D800" s="170"/>
      <c r="E800" s="170"/>
      <c r="F800" s="170"/>
      <c r="G800" s="170"/>
      <c r="H800" s="170"/>
    </row>
    <row r="801" spans="1:8">
      <c r="A801" s="169"/>
      <c r="B801" s="170"/>
      <c r="C801" s="170"/>
      <c r="D801" s="170"/>
      <c r="E801" s="170"/>
      <c r="F801" s="170"/>
      <c r="G801" s="170"/>
      <c r="H801" s="170"/>
    </row>
    <row r="802" spans="1:8">
      <c r="A802" s="169"/>
      <c r="B802" s="170"/>
      <c r="C802" s="170"/>
      <c r="D802" s="170"/>
      <c r="E802" s="170"/>
      <c r="F802" s="170"/>
      <c r="G802" s="170"/>
      <c r="H802" s="170"/>
    </row>
    <row r="803" spans="1:8">
      <c r="A803" s="169"/>
      <c r="B803" s="170"/>
      <c r="C803" s="170"/>
      <c r="D803" s="170"/>
      <c r="E803" s="170"/>
      <c r="F803" s="170"/>
      <c r="G803" s="170"/>
      <c r="H803" s="170"/>
    </row>
    <row r="804" spans="1:8">
      <c r="A804" s="169"/>
      <c r="B804" s="170"/>
      <c r="C804" s="170"/>
      <c r="D804" s="170"/>
      <c r="E804" s="170"/>
      <c r="F804" s="170"/>
      <c r="G804" s="170"/>
      <c r="H804" s="170"/>
    </row>
    <row r="805" spans="1:8">
      <c r="A805" s="169"/>
      <c r="B805" s="170"/>
      <c r="C805" s="170"/>
      <c r="D805" s="170"/>
      <c r="E805" s="170"/>
      <c r="F805" s="170"/>
      <c r="G805" s="170"/>
      <c r="H805" s="170"/>
    </row>
    <row r="806" spans="1:8">
      <c r="A806" s="169"/>
      <c r="B806" s="170"/>
      <c r="C806" s="170"/>
      <c r="D806" s="170"/>
      <c r="E806" s="170"/>
      <c r="F806" s="170"/>
      <c r="G806" s="170"/>
      <c r="H806" s="170"/>
    </row>
    <row r="807" spans="1:8">
      <c r="A807" s="169"/>
      <c r="B807" s="170"/>
      <c r="C807" s="170"/>
      <c r="D807" s="170"/>
      <c r="E807" s="170"/>
      <c r="F807" s="170"/>
      <c r="G807" s="170"/>
      <c r="H807" s="170"/>
    </row>
    <row r="808" spans="1:8">
      <c r="A808" s="169"/>
      <c r="B808" s="170"/>
      <c r="C808" s="170"/>
      <c r="D808" s="170"/>
      <c r="E808" s="170"/>
      <c r="F808" s="170"/>
      <c r="G808" s="170"/>
      <c r="H808" s="170"/>
    </row>
    <row r="809" spans="1:8">
      <c r="A809" s="169"/>
      <c r="B809" s="170"/>
      <c r="C809" s="170"/>
      <c r="D809" s="170"/>
      <c r="E809" s="170"/>
      <c r="F809" s="170"/>
      <c r="G809" s="170"/>
      <c r="H809" s="170"/>
    </row>
    <row r="810" spans="1:8">
      <c r="A810" s="169"/>
      <c r="B810" s="170"/>
      <c r="C810" s="170"/>
      <c r="D810" s="170"/>
      <c r="E810" s="170"/>
      <c r="F810" s="170"/>
      <c r="G810" s="170"/>
      <c r="H810" s="170"/>
    </row>
    <row r="811" spans="1:8">
      <c r="A811" s="169"/>
      <c r="B811" s="170"/>
      <c r="C811" s="170"/>
      <c r="D811" s="170"/>
      <c r="E811" s="170"/>
      <c r="F811" s="170"/>
      <c r="G811" s="170"/>
      <c r="H811" s="170"/>
    </row>
    <row r="812" spans="1:8">
      <c r="A812" s="169"/>
      <c r="B812" s="170"/>
      <c r="C812" s="170"/>
      <c r="D812" s="170"/>
      <c r="E812" s="170"/>
      <c r="F812" s="170"/>
      <c r="G812" s="170"/>
      <c r="H812" s="170"/>
    </row>
    <row r="813" spans="1:8">
      <c r="A813" s="169"/>
      <c r="B813" s="170"/>
      <c r="C813" s="170"/>
      <c r="D813" s="170"/>
      <c r="E813" s="170"/>
      <c r="F813" s="170"/>
      <c r="G813" s="170"/>
      <c r="H813" s="170"/>
    </row>
    <row r="814" spans="1:8">
      <c r="A814" s="169"/>
      <c r="B814" s="170"/>
      <c r="C814" s="170"/>
      <c r="D814" s="170"/>
      <c r="E814" s="170"/>
      <c r="F814" s="170"/>
      <c r="G814" s="170"/>
      <c r="H814" s="170"/>
    </row>
    <row r="815" spans="1:8">
      <c r="A815" s="169"/>
      <c r="B815" s="170"/>
      <c r="C815" s="170"/>
      <c r="D815" s="170"/>
      <c r="E815" s="170"/>
      <c r="F815" s="170"/>
      <c r="G815" s="170"/>
      <c r="H815" s="170"/>
    </row>
    <row r="816" spans="1:8">
      <c r="A816" s="169"/>
      <c r="B816" s="170"/>
      <c r="C816" s="170"/>
      <c r="D816" s="170"/>
      <c r="E816" s="170"/>
      <c r="F816" s="170"/>
      <c r="G816" s="170"/>
      <c r="H816" s="170"/>
    </row>
    <row r="817" spans="1:8">
      <c r="A817" s="169"/>
      <c r="B817" s="170"/>
      <c r="C817" s="170"/>
      <c r="D817" s="170"/>
      <c r="E817" s="170"/>
      <c r="F817" s="170"/>
      <c r="G817" s="170"/>
      <c r="H817" s="170"/>
    </row>
    <row r="818" spans="1:8">
      <c r="A818" s="169"/>
      <c r="B818" s="170"/>
      <c r="C818" s="170"/>
      <c r="D818" s="170"/>
      <c r="E818" s="170"/>
      <c r="F818" s="170"/>
      <c r="G818" s="170"/>
      <c r="H818" s="170"/>
    </row>
    <row r="819" spans="1:8">
      <c r="A819" s="169"/>
      <c r="B819" s="170"/>
      <c r="C819" s="170"/>
      <c r="D819" s="170"/>
      <c r="E819" s="170"/>
      <c r="F819" s="170"/>
      <c r="G819" s="170"/>
      <c r="H819" s="170"/>
    </row>
    <row r="820" spans="1:8">
      <c r="A820" s="169"/>
      <c r="B820" s="170"/>
      <c r="C820" s="170"/>
      <c r="D820" s="170"/>
      <c r="E820" s="170"/>
      <c r="F820" s="170"/>
      <c r="G820" s="170"/>
      <c r="H820" s="170"/>
    </row>
    <row r="821" spans="1:8">
      <c r="A821" s="169"/>
      <c r="B821" s="170"/>
      <c r="C821" s="170"/>
      <c r="D821" s="170"/>
      <c r="E821" s="170"/>
      <c r="F821" s="170"/>
      <c r="G821" s="170"/>
      <c r="H821" s="170"/>
    </row>
    <row r="822" spans="1:8">
      <c r="A822" s="169"/>
      <c r="B822" s="170"/>
      <c r="C822" s="170"/>
      <c r="D822" s="170"/>
      <c r="E822" s="170"/>
      <c r="F822" s="170"/>
      <c r="G822" s="170"/>
      <c r="H822" s="170"/>
    </row>
    <row r="823" spans="1:8">
      <c r="A823" s="169"/>
      <c r="B823" s="170"/>
      <c r="C823" s="170"/>
      <c r="D823" s="170"/>
      <c r="E823" s="170"/>
      <c r="F823" s="170"/>
      <c r="G823" s="170"/>
      <c r="H823" s="170"/>
    </row>
    <row r="824" spans="1:8">
      <c r="A824" s="169"/>
      <c r="B824" s="170"/>
      <c r="C824" s="170"/>
      <c r="D824" s="170"/>
      <c r="E824" s="170"/>
      <c r="F824" s="170"/>
      <c r="G824" s="170"/>
      <c r="H824" s="170"/>
    </row>
    <row r="825" spans="1:8">
      <c r="A825" s="169"/>
      <c r="B825" s="170"/>
      <c r="C825" s="170"/>
      <c r="D825" s="170"/>
      <c r="E825" s="170"/>
      <c r="F825" s="170"/>
      <c r="G825" s="170"/>
      <c r="H825" s="170"/>
    </row>
    <row r="826" spans="1:8">
      <c r="A826" s="169"/>
      <c r="B826" s="170"/>
      <c r="C826" s="170"/>
      <c r="D826" s="170"/>
      <c r="E826" s="170"/>
      <c r="F826" s="170"/>
      <c r="G826" s="170"/>
      <c r="H826" s="170"/>
    </row>
    <row r="827" spans="1:8">
      <c r="A827" s="169"/>
      <c r="B827" s="170"/>
      <c r="C827" s="170"/>
      <c r="D827" s="170"/>
      <c r="E827" s="170"/>
      <c r="F827" s="170"/>
      <c r="G827" s="170"/>
      <c r="H827" s="170"/>
    </row>
    <row r="828" spans="1:8">
      <c r="A828" s="169"/>
      <c r="B828" s="170"/>
      <c r="C828" s="170"/>
      <c r="D828" s="170"/>
      <c r="E828" s="170"/>
      <c r="F828" s="170"/>
      <c r="G828" s="170"/>
      <c r="H828" s="170"/>
    </row>
    <row r="829" spans="1:8">
      <c r="A829" s="169"/>
      <c r="B829" s="170"/>
      <c r="C829" s="170"/>
      <c r="D829" s="170"/>
      <c r="E829" s="170"/>
      <c r="F829" s="170"/>
      <c r="G829" s="170"/>
      <c r="H829" s="170"/>
    </row>
    <row r="830" spans="1:8">
      <c r="A830" s="169"/>
      <c r="B830" s="170"/>
      <c r="C830" s="170"/>
      <c r="D830" s="170"/>
      <c r="E830" s="170"/>
      <c r="F830" s="170"/>
      <c r="G830" s="170"/>
      <c r="H830" s="170"/>
    </row>
    <row r="831" spans="1:8">
      <c r="A831" s="169"/>
      <c r="B831" s="170"/>
      <c r="C831" s="170"/>
      <c r="D831" s="170"/>
      <c r="E831" s="170"/>
      <c r="F831" s="170"/>
      <c r="G831" s="170"/>
      <c r="H831" s="170"/>
    </row>
    <row r="832" spans="1:8">
      <c r="A832" s="169"/>
      <c r="B832" s="170"/>
      <c r="C832" s="170"/>
      <c r="D832" s="170"/>
      <c r="E832" s="170"/>
      <c r="F832" s="170"/>
      <c r="G832" s="170"/>
      <c r="H832" s="170"/>
    </row>
    <row r="833" spans="1:8">
      <c r="A833" s="169"/>
      <c r="B833" s="170"/>
      <c r="C833" s="170"/>
      <c r="D833" s="170"/>
      <c r="E833" s="170"/>
      <c r="F833" s="170"/>
      <c r="G833" s="170"/>
      <c r="H833" s="170"/>
    </row>
    <row r="834" spans="1:8">
      <c r="A834" s="169"/>
      <c r="B834" s="170"/>
      <c r="C834" s="170"/>
      <c r="D834" s="170"/>
      <c r="E834" s="170"/>
      <c r="F834" s="170"/>
      <c r="G834" s="170"/>
      <c r="H834" s="170"/>
    </row>
    <row r="835" spans="1:8">
      <c r="A835" s="169"/>
      <c r="B835" s="170"/>
      <c r="C835" s="170"/>
      <c r="D835" s="170"/>
      <c r="E835" s="170"/>
      <c r="F835" s="170"/>
      <c r="G835" s="170"/>
      <c r="H835" s="170"/>
    </row>
    <row r="836" spans="1:8">
      <c r="A836" s="169"/>
      <c r="B836" s="170"/>
      <c r="C836" s="170"/>
      <c r="D836" s="170"/>
      <c r="E836" s="170"/>
      <c r="F836" s="170"/>
      <c r="G836" s="170"/>
      <c r="H836" s="170"/>
    </row>
    <row r="837" spans="1:8">
      <c r="A837" s="169"/>
      <c r="B837" s="170"/>
      <c r="C837" s="170"/>
      <c r="D837" s="170"/>
      <c r="E837" s="170"/>
      <c r="F837" s="170"/>
      <c r="G837" s="170"/>
      <c r="H837" s="170"/>
    </row>
    <row r="838" spans="1:8">
      <c r="A838" s="169"/>
      <c r="B838" s="170"/>
      <c r="C838" s="170"/>
      <c r="D838" s="170"/>
      <c r="E838" s="170"/>
      <c r="F838" s="170"/>
      <c r="G838" s="170"/>
      <c r="H838" s="170"/>
    </row>
    <row r="839" spans="1:8">
      <c r="A839" s="169"/>
      <c r="B839" s="170"/>
      <c r="C839" s="170"/>
      <c r="D839" s="170"/>
      <c r="E839" s="170"/>
      <c r="F839" s="170"/>
      <c r="G839" s="170"/>
      <c r="H839" s="170"/>
    </row>
    <row r="840" spans="1:8">
      <c r="A840" s="169"/>
      <c r="B840" s="170"/>
      <c r="C840" s="170"/>
      <c r="D840" s="170"/>
      <c r="E840" s="170"/>
      <c r="F840" s="170"/>
      <c r="G840" s="170"/>
      <c r="H840" s="170"/>
    </row>
    <row r="841" spans="1:8">
      <c r="A841" s="169"/>
      <c r="B841" s="170"/>
      <c r="C841" s="170"/>
      <c r="D841" s="170"/>
      <c r="E841" s="170"/>
      <c r="F841" s="170"/>
      <c r="G841" s="170"/>
      <c r="H841" s="170"/>
    </row>
    <row r="842" spans="1:8">
      <c r="A842" s="169"/>
      <c r="B842" s="170"/>
      <c r="C842" s="170"/>
      <c r="D842" s="170"/>
      <c r="E842" s="170"/>
      <c r="F842" s="170"/>
      <c r="G842" s="170"/>
      <c r="H842" s="170"/>
    </row>
    <row r="843" spans="1:8">
      <c r="A843" s="169"/>
      <c r="B843" s="170"/>
      <c r="C843" s="170"/>
      <c r="D843" s="170"/>
      <c r="E843" s="170"/>
      <c r="F843" s="170"/>
      <c r="G843" s="170"/>
      <c r="H843" s="170"/>
    </row>
    <row r="844" spans="1:8">
      <c r="A844" s="169"/>
      <c r="B844" s="170"/>
      <c r="C844" s="170"/>
      <c r="D844" s="170"/>
      <c r="E844" s="170"/>
      <c r="F844" s="170"/>
      <c r="G844" s="170"/>
      <c r="H844" s="170"/>
    </row>
    <row r="845" spans="1:8">
      <c r="A845" s="169"/>
      <c r="B845" s="170"/>
      <c r="C845" s="170"/>
      <c r="D845" s="170"/>
      <c r="E845" s="170"/>
      <c r="F845" s="170"/>
      <c r="G845" s="170"/>
      <c r="H845" s="170"/>
    </row>
    <row r="846" spans="1:8">
      <c r="A846" s="169"/>
      <c r="B846" s="170"/>
      <c r="C846" s="170"/>
      <c r="D846" s="170"/>
      <c r="E846" s="170"/>
      <c r="F846" s="170"/>
      <c r="G846" s="170"/>
      <c r="H846" s="170"/>
    </row>
    <row r="847" spans="1:8">
      <c r="A847" s="169"/>
      <c r="B847" s="170"/>
      <c r="C847" s="170"/>
      <c r="D847" s="170"/>
      <c r="E847" s="170"/>
      <c r="F847" s="170"/>
      <c r="G847" s="170"/>
      <c r="H847" s="170"/>
    </row>
    <row r="848" spans="1:8">
      <c r="A848" s="169"/>
      <c r="B848" s="170"/>
      <c r="C848" s="170"/>
      <c r="D848" s="170"/>
      <c r="E848" s="170"/>
      <c r="F848" s="170"/>
      <c r="G848" s="170"/>
      <c r="H848" s="170"/>
    </row>
    <row r="849" spans="1:8">
      <c r="A849" s="169"/>
      <c r="B849" s="170"/>
      <c r="C849" s="170"/>
      <c r="D849" s="170"/>
      <c r="E849" s="170"/>
      <c r="F849" s="170"/>
      <c r="G849" s="170"/>
      <c r="H849" s="170"/>
    </row>
    <row r="850" spans="1:8">
      <c r="A850" s="169"/>
      <c r="B850" s="170"/>
      <c r="C850" s="170"/>
      <c r="D850" s="170"/>
      <c r="E850" s="170"/>
      <c r="F850" s="170"/>
      <c r="G850" s="170"/>
      <c r="H850" s="170"/>
    </row>
    <row r="851" spans="1:8">
      <c r="A851" s="169"/>
      <c r="B851" s="170"/>
      <c r="C851" s="170"/>
      <c r="D851" s="170"/>
      <c r="E851" s="170"/>
      <c r="F851" s="170"/>
      <c r="G851" s="170"/>
      <c r="H851" s="170"/>
    </row>
    <row r="852" spans="1:8">
      <c r="A852" s="169"/>
      <c r="B852" s="170"/>
      <c r="C852" s="170"/>
      <c r="D852" s="170"/>
      <c r="E852" s="170"/>
      <c r="F852" s="170"/>
      <c r="G852" s="170"/>
      <c r="H852" s="170"/>
    </row>
    <row r="853" spans="1:8">
      <c r="A853" s="169"/>
      <c r="B853" s="170"/>
      <c r="C853" s="170"/>
      <c r="D853" s="170"/>
      <c r="E853" s="170"/>
      <c r="F853" s="170"/>
      <c r="G853" s="170"/>
      <c r="H853" s="170"/>
    </row>
    <row r="854" spans="1:8">
      <c r="A854" s="169"/>
      <c r="B854" s="170"/>
      <c r="C854" s="170"/>
      <c r="D854" s="170"/>
      <c r="E854" s="170"/>
      <c r="F854" s="170"/>
      <c r="G854" s="170"/>
      <c r="H854" s="170"/>
    </row>
    <row r="855" spans="1:8">
      <c r="A855" s="169"/>
      <c r="B855" s="170"/>
      <c r="C855" s="170"/>
      <c r="D855" s="170"/>
      <c r="E855" s="170"/>
      <c r="F855" s="170"/>
      <c r="G855" s="170"/>
      <c r="H855" s="170"/>
    </row>
    <row r="856" spans="1:8">
      <c r="A856" s="169"/>
      <c r="B856" s="170"/>
      <c r="C856" s="170"/>
      <c r="D856" s="170"/>
      <c r="E856" s="170"/>
      <c r="F856" s="170"/>
      <c r="G856" s="170"/>
      <c r="H856" s="170"/>
    </row>
    <row r="857" spans="1:8">
      <c r="A857" s="169"/>
      <c r="B857" s="170"/>
      <c r="C857" s="170"/>
      <c r="D857" s="170"/>
      <c r="E857" s="170"/>
      <c r="F857" s="170"/>
      <c r="G857" s="170"/>
      <c r="H857" s="170"/>
    </row>
    <row r="858" spans="1:8">
      <c r="A858" s="169"/>
      <c r="B858" s="170"/>
      <c r="C858" s="170"/>
      <c r="D858" s="170"/>
      <c r="E858" s="170"/>
      <c r="F858" s="170"/>
      <c r="G858" s="170"/>
      <c r="H858" s="170"/>
    </row>
    <row r="859" spans="1:8">
      <c r="A859" s="169"/>
      <c r="B859" s="170"/>
      <c r="C859" s="170"/>
      <c r="D859" s="170"/>
      <c r="E859" s="170"/>
      <c r="F859" s="170"/>
      <c r="G859" s="170"/>
      <c r="H859" s="170"/>
    </row>
    <row r="860" spans="1:8">
      <c r="A860" s="169"/>
      <c r="B860" s="170"/>
      <c r="C860" s="170"/>
      <c r="D860" s="170"/>
      <c r="E860" s="170"/>
      <c r="F860" s="170"/>
      <c r="G860" s="170"/>
      <c r="H860" s="170"/>
    </row>
    <row r="861" spans="1:8">
      <c r="A861" s="169"/>
      <c r="B861" s="170"/>
      <c r="C861" s="170"/>
      <c r="D861" s="170"/>
      <c r="E861" s="170"/>
      <c r="F861" s="170"/>
      <c r="G861" s="170"/>
      <c r="H861" s="170"/>
    </row>
    <row r="862" spans="1:8">
      <c r="A862" s="169"/>
      <c r="B862" s="170"/>
      <c r="C862" s="170"/>
      <c r="D862" s="170"/>
      <c r="E862" s="170"/>
      <c r="F862" s="170"/>
      <c r="G862" s="170"/>
      <c r="H862" s="170"/>
    </row>
    <row r="863" spans="1:8">
      <c r="A863" s="169"/>
      <c r="B863" s="170"/>
      <c r="C863" s="170"/>
      <c r="D863" s="170"/>
      <c r="E863" s="170"/>
      <c r="F863" s="170"/>
      <c r="G863" s="170"/>
      <c r="H863" s="170"/>
    </row>
    <row r="864" spans="1:8">
      <c r="A864" s="169"/>
      <c r="B864" s="170"/>
      <c r="C864" s="170"/>
      <c r="D864" s="170"/>
      <c r="E864" s="170"/>
      <c r="F864" s="170"/>
      <c r="G864" s="170"/>
      <c r="H864" s="170"/>
    </row>
    <row r="865" spans="1:8">
      <c r="A865" s="169"/>
      <c r="B865" s="170"/>
      <c r="C865" s="170"/>
      <c r="D865" s="170"/>
      <c r="E865" s="170"/>
      <c r="F865" s="170"/>
      <c r="G865" s="170"/>
      <c r="H865" s="170"/>
    </row>
    <row r="866" spans="1:8">
      <c r="A866" s="169"/>
      <c r="B866" s="170"/>
      <c r="C866" s="170"/>
      <c r="D866" s="170"/>
      <c r="E866" s="170"/>
      <c r="F866" s="170"/>
      <c r="G866" s="170"/>
      <c r="H866" s="170"/>
    </row>
    <row r="867" spans="1:8">
      <c r="A867" s="169"/>
      <c r="B867" s="170"/>
      <c r="C867" s="170"/>
      <c r="D867" s="170"/>
      <c r="E867" s="170"/>
      <c r="F867" s="170"/>
      <c r="G867" s="170"/>
      <c r="H867" s="170"/>
    </row>
    <row r="868" spans="1:8">
      <c r="A868" s="169"/>
      <c r="B868" s="170"/>
      <c r="C868" s="170"/>
      <c r="D868" s="170"/>
      <c r="E868" s="170"/>
      <c r="F868" s="170"/>
      <c r="G868" s="170"/>
      <c r="H868" s="170"/>
    </row>
    <row r="869" spans="1:8">
      <c r="A869" s="169"/>
      <c r="B869" s="170"/>
      <c r="C869" s="170"/>
      <c r="D869" s="170"/>
      <c r="E869" s="170"/>
      <c r="F869" s="170"/>
      <c r="G869" s="170"/>
      <c r="H869" s="170"/>
    </row>
    <row r="870" spans="1:8">
      <c r="A870" s="169"/>
      <c r="B870" s="170"/>
      <c r="C870" s="170"/>
      <c r="D870" s="170"/>
      <c r="E870" s="170"/>
      <c r="F870" s="170"/>
      <c r="G870" s="170"/>
      <c r="H870" s="170"/>
    </row>
    <row r="871" spans="1:8">
      <c r="A871" s="169"/>
      <c r="B871" s="170"/>
      <c r="C871" s="170"/>
      <c r="D871" s="170"/>
      <c r="E871" s="170"/>
      <c r="F871" s="170"/>
      <c r="G871" s="170"/>
      <c r="H871" s="170"/>
    </row>
    <row r="872" spans="1:8">
      <c r="A872" s="169"/>
      <c r="B872" s="170"/>
      <c r="C872" s="170"/>
      <c r="D872" s="170"/>
      <c r="E872" s="170"/>
      <c r="F872" s="170"/>
      <c r="G872" s="170"/>
      <c r="H872" s="170"/>
    </row>
    <row r="873" spans="1:8">
      <c r="A873" s="169"/>
      <c r="B873" s="170"/>
      <c r="C873" s="170"/>
      <c r="D873" s="170"/>
      <c r="E873" s="170"/>
      <c r="F873" s="170"/>
      <c r="G873" s="170"/>
      <c r="H873" s="170"/>
    </row>
    <row r="874" spans="1:8">
      <c r="A874" s="169"/>
      <c r="B874" s="170"/>
      <c r="C874" s="170"/>
      <c r="D874" s="170"/>
      <c r="E874" s="170"/>
      <c r="F874" s="170"/>
      <c r="G874" s="170"/>
      <c r="H874" s="170"/>
    </row>
    <row r="875" spans="1:8">
      <c r="A875" s="169"/>
      <c r="B875" s="170"/>
      <c r="C875" s="170"/>
      <c r="D875" s="170"/>
      <c r="E875" s="170"/>
      <c r="F875" s="170"/>
      <c r="G875" s="170"/>
      <c r="H875" s="170"/>
    </row>
    <row r="876" spans="1:8">
      <c r="A876" s="169"/>
      <c r="B876" s="170"/>
      <c r="C876" s="170"/>
      <c r="D876" s="170"/>
      <c r="E876" s="170"/>
      <c r="F876" s="170"/>
      <c r="G876" s="170"/>
      <c r="H876" s="170"/>
    </row>
    <row r="877" spans="1:8">
      <c r="A877" s="169"/>
      <c r="B877" s="170"/>
      <c r="C877" s="170"/>
      <c r="D877" s="170"/>
      <c r="E877" s="170"/>
      <c r="F877" s="170"/>
      <c r="G877" s="170"/>
      <c r="H877" s="170"/>
    </row>
    <row r="878" spans="1:8">
      <c r="A878" s="169"/>
      <c r="B878" s="170"/>
      <c r="C878" s="170"/>
      <c r="D878" s="170"/>
      <c r="E878" s="170"/>
      <c r="F878" s="170"/>
      <c r="G878" s="170"/>
      <c r="H878" s="170"/>
    </row>
    <row r="879" spans="1:8">
      <c r="A879" s="169"/>
      <c r="B879" s="170"/>
      <c r="C879" s="170"/>
      <c r="D879" s="170"/>
      <c r="E879" s="170"/>
      <c r="F879" s="170"/>
      <c r="G879" s="170"/>
      <c r="H879" s="170"/>
    </row>
    <row r="880" spans="1:8">
      <c r="A880" s="169"/>
      <c r="B880" s="170"/>
      <c r="C880" s="170"/>
      <c r="D880" s="170"/>
      <c r="E880" s="170"/>
      <c r="F880" s="170"/>
      <c r="G880" s="170"/>
      <c r="H880" s="170"/>
    </row>
    <row r="881" spans="1:8">
      <c r="A881" s="169"/>
      <c r="B881" s="170"/>
      <c r="C881" s="170"/>
      <c r="D881" s="170"/>
      <c r="E881" s="170"/>
      <c r="F881" s="170"/>
      <c r="G881" s="170"/>
      <c r="H881" s="170"/>
    </row>
    <row r="882" spans="1:8">
      <c r="A882" s="169"/>
      <c r="B882" s="170"/>
      <c r="C882" s="170"/>
      <c r="D882" s="170"/>
      <c r="E882" s="170"/>
      <c r="F882" s="170"/>
      <c r="G882" s="170"/>
      <c r="H882" s="170"/>
    </row>
    <row r="883" spans="1:8">
      <c r="A883" s="169"/>
      <c r="B883" s="170"/>
      <c r="C883" s="170"/>
      <c r="D883" s="170"/>
      <c r="E883" s="170"/>
      <c r="F883" s="170"/>
      <c r="G883" s="170"/>
      <c r="H883" s="170"/>
    </row>
    <row r="884" spans="1:8">
      <c r="A884" s="169"/>
      <c r="B884" s="170"/>
      <c r="C884" s="170"/>
      <c r="D884" s="170"/>
      <c r="E884" s="170"/>
      <c r="F884" s="170"/>
      <c r="G884" s="170"/>
      <c r="H884" s="170"/>
    </row>
    <row r="885" spans="1:8">
      <c r="A885" s="169"/>
      <c r="B885" s="170"/>
      <c r="C885" s="170"/>
      <c r="D885" s="170"/>
      <c r="E885" s="170"/>
      <c r="F885" s="170"/>
      <c r="G885" s="170"/>
      <c r="H885" s="170"/>
    </row>
    <row r="886" spans="1:8">
      <c r="A886" s="169"/>
      <c r="B886" s="170"/>
      <c r="C886" s="170"/>
      <c r="D886" s="170"/>
      <c r="E886" s="170"/>
      <c r="F886" s="170"/>
      <c r="G886" s="170"/>
      <c r="H886" s="170"/>
    </row>
    <row r="887" spans="1:8">
      <c r="A887" s="169"/>
      <c r="B887" s="170"/>
      <c r="C887" s="170"/>
      <c r="D887" s="170"/>
      <c r="E887" s="170"/>
      <c r="F887" s="170"/>
      <c r="G887" s="170"/>
      <c r="H887" s="170"/>
    </row>
    <row r="888" spans="1:8">
      <c r="A888" s="169"/>
      <c r="B888" s="170"/>
      <c r="C888" s="170"/>
      <c r="D888" s="170"/>
      <c r="E888" s="170"/>
      <c r="F888" s="170"/>
      <c r="G888" s="170"/>
      <c r="H888" s="170"/>
    </row>
    <row r="889" spans="1:8">
      <c r="A889" s="169"/>
      <c r="B889" s="170"/>
      <c r="C889" s="170"/>
      <c r="D889" s="170"/>
      <c r="E889" s="170"/>
      <c r="F889" s="170"/>
      <c r="G889" s="170"/>
      <c r="H889" s="170"/>
    </row>
    <row r="890" spans="1:8">
      <c r="A890" s="169"/>
      <c r="B890" s="170"/>
      <c r="C890" s="170"/>
      <c r="D890" s="170"/>
      <c r="E890" s="170"/>
      <c r="F890" s="170"/>
      <c r="G890" s="170"/>
      <c r="H890" s="170"/>
    </row>
    <row r="891" spans="1:8">
      <c r="A891" s="169"/>
      <c r="B891" s="170"/>
      <c r="C891" s="170"/>
      <c r="D891" s="170"/>
      <c r="E891" s="170"/>
      <c r="F891" s="170"/>
      <c r="G891" s="170"/>
      <c r="H891" s="170"/>
    </row>
    <row r="892" spans="1:8">
      <c r="A892" s="169"/>
      <c r="B892" s="170"/>
      <c r="C892" s="170"/>
      <c r="D892" s="170"/>
      <c r="E892" s="170"/>
      <c r="F892" s="170"/>
      <c r="G892" s="170"/>
      <c r="H892" s="170"/>
    </row>
    <row r="893" spans="1:8">
      <c r="A893" s="169"/>
      <c r="B893" s="170"/>
      <c r="C893" s="170"/>
      <c r="D893" s="170"/>
      <c r="E893" s="170"/>
      <c r="F893" s="170"/>
      <c r="G893" s="170"/>
      <c r="H893" s="170"/>
    </row>
    <row r="894" spans="1:8">
      <c r="A894" s="169"/>
      <c r="B894" s="170"/>
      <c r="C894" s="170"/>
      <c r="D894" s="170"/>
      <c r="E894" s="170"/>
      <c r="F894" s="170"/>
      <c r="G894" s="170"/>
      <c r="H894" s="170"/>
    </row>
    <row r="895" spans="1:8">
      <c r="A895" s="169"/>
      <c r="B895" s="170"/>
      <c r="C895" s="170"/>
      <c r="D895" s="170"/>
      <c r="E895" s="170"/>
      <c r="F895" s="170"/>
      <c r="G895" s="170"/>
      <c r="H895" s="170"/>
    </row>
    <row r="896" spans="1:8">
      <c r="A896" s="169"/>
      <c r="B896" s="170"/>
      <c r="C896" s="170"/>
      <c r="D896" s="170"/>
      <c r="E896" s="170"/>
      <c r="F896" s="170"/>
      <c r="G896" s="170"/>
      <c r="H896" s="170"/>
    </row>
    <row r="897" spans="1:8">
      <c r="A897" s="169"/>
      <c r="B897" s="170"/>
      <c r="C897" s="170"/>
      <c r="D897" s="170"/>
      <c r="E897" s="170"/>
      <c r="F897" s="170"/>
      <c r="G897" s="170"/>
      <c r="H897" s="170"/>
    </row>
    <row r="898" spans="1:8">
      <c r="A898" s="169"/>
      <c r="B898" s="170"/>
      <c r="C898" s="170"/>
      <c r="D898" s="170"/>
      <c r="E898" s="170"/>
      <c r="F898" s="170"/>
      <c r="G898" s="170"/>
      <c r="H898" s="170"/>
    </row>
    <row r="899" spans="1:8">
      <c r="A899" s="169"/>
      <c r="B899" s="170"/>
      <c r="C899" s="170"/>
      <c r="D899" s="170"/>
      <c r="E899" s="170"/>
      <c r="F899" s="170"/>
      <c r="G899" s="170"/>
      <c r="H899" s="170"/>
    </row>
    <row r="900" spans="1:8">
      <c r="A900" s="169"/>
      <c r="B900" s="170"/>
      <c r="C900" s="170"/>
      <c r="D900" s="170"/>
      <c r="E900" s="170"/>
      <c r="F900" s="170"/>
      <c r="G900" s="170"/>
      <c r="H900" s="170"/>
    </row>
    <row r="901" spans="1:8">
      <c r="A901" s="169"/>
      <c r="B901" s="170"/>
      <c r="C901" s="170"/>
      <c r="D901" s="170"/>
      <c r="E901" s="170"/>
      <c r="F901" s="170"/>
      <c r="G901" s="170"/>
      <c r="H901" s="170"/>
    </row>
    <row r="902" spans="1:8">
      <c r="A902" s="169"/>
      <c r="B902" s="170"/>
      <c r="C902" s="170"/>
      <c r="D902" s="170"/>
      <c r="E902" s="170"/>
      <c r="F902" s="170"/>
      <c r="G902" s="170"/>
      <c r="H902" s="170"/>
    </row>
    <row r="903" spans="1:8">
      <c r="A903" s="169"/>
      <c r="B903" s="170"/>
      <c r="C903" s="170"/>
      <c r="D903" s="170"/>
      <c r="E903" s="170"/>
      <c r="F903" s="170"/>
      <c r="G903" s="170"/>
      <c r="H903" s="170"/>
    </row>
    <row r="904" spans="1:8">
      <c r="A904" s="169"/>
      <c r="B904" s="170"/>
      <c r="C904" s="170"/>
      <c r="D904" s="170"/>
      <c r="E904" s="170"/>
      <c r="F904" s="170"/>
      <c r="G904" s="170"/>
      <c r="H904" s="170"/>
    </row>
    <row r="905" spans="1:8">
      <c r="A905" s="169"/>
      <c r="B905" s="170"/>
      <c r="C905" s="170"/>
      <c r="D905" s="170"/>
      <c r="E905" s="170"/>
      <c r="F905" s="170"/>
      <c r="G905" s="170"/>
      <c r="H905" s="170"/>
    </row>
    <row r="906" spans="1:8">
      <c r="A906" s="169"/>
      <c r="B906" s="170"/>
      <c r="C906" s="170"/>
      <c r="D906" s="170"/>
      <c r="E906" s="170"/>
      <c r="F906" s="170"/>
      <c r="G906" s="170"/>
      <c r="H906" s="170"/>
    </row>
    <row r="907" spans="1:8">
      <c r="A907" s="169"/>
      <c r="B907" s="170"/>
      <c r="C907" s="170"/>
      <c r="D907" s="170"/>
      <c r="E907" s="170"/>
      <c r="F907" s="170"/>
      <c r="G907" s="170"/>
      <c r="H907" s="170"/>
    </row>
    <row r="908" spans="1:8">
      <c r="A908" s="169"/>
      <c r="B908" s="170"/>
      <c r="C908" s="170"/>
      <c r="D908" s="170"/>
      <c r="E908" s="170"/>
      <c r="F908" s="170"/>
      <c r="G908" s="170"/>
      <c r="H908" s="170"/>
    </row>
    <row r="909" spans="1:8">
      <c r="A909" s="169"/>
      <c r="B909" s="170"/>
      <c r="C909" s="170"/>
      <c r="D909" s="170"/>
      <c r="E909" s="170"/>
      <c r="F909" s="170"/>
      <c r="G909" s="170"/>
      <c r="H909" s="170"/>
    </row>
    <row r="910" spans="1:8">
      <c r="A910" s="169"/>
      <c r="B910" s="170"/>
      <c r="C910" s="170"/>
      <c r="D910" s="170"/>
      <c r="E910" s="170"/>
      <c r="F910" s="170"/>
      <c r="G910" s="170"/>
      <c r="H910" s="170"/>
    </row>
    <row r="911" spans="1:8">
      <c r="A911" s="169"/>
      <c r="B911" s="170"/>
      <c r="C911" s="170"/>
      <c r="D911" s="170"/>
      <c r="E911" s="170"/>
      <c r="F911" s="170"/>
      <c r="G911" s="170"/>
      <c r="H911" s="170"/>
    </row>
    <row r="912" spans="1:8">
      <c r="A912" s="169"/>
      <c r="B912" s="170"/>
      <c r="C912" s="170"/>
      <c r="D912" s="170"/>
      <c r="E912" s="170"/>
      <c r="F912" s="170"/>
      <c r="G912" s="170"/>
      <c r="H912" s="170"/>
    </row>
    <row r="913" spans="1:8">
      <c r="A913" s="169"/>
      <c r="B913" s="170"/>
      <c r="C913" s="170"/>
      <c r="D913" s="170"/>
      <c r="E913" s="170"/>
      <c r="F913" s="170"/>
      <c r="G913" s="170"/>
      <c r="H913" s="170"/>
    </row>
    <row r="914" spans="1:8">
      <c r="A914" s="169"/>
      <c r="B914" s="170"/>
      <c r="C914" s="170"/>
      <c r="D914" s="170"/>
      <c r="E914" s="170"/>
      <c r="F914" s="170"/>
      <c r="G914" s="170"/>
      <c r="H914" s="170"/>
    </row>
    <row r="915" spans="1:8">
      <c r="A915" s="169"/>
      <c r="B915" s="170"/>
      <c r="C915" s="170"/>
      <c r="D915" s="170"/>
      <c r="E915" s="170"/>
      <c r="F915" s="170"/>
      <c r="G915" s="170"/>
      <c r="H915" s="170"/>
    </row>
    <row r="916" spans="1:8">
      <c r="A916" s="169"/>
      <c r="B916" s="170"/>
      <c r="C916" s="170"/>
      <c r="D916" s="170"/>
      <c r="E916" s="170"/>
      <c r="F916" s="170"/>
      <c r="G916" s="170"/>
      <c r="H916" s="170"/>
    </row>
    <row r="917" spans="1:8">
      <c r="A917" s="169"/>
      <c r="B917" s="170"/>
      <c r="C917" s="170"/>
      <c r="D917" s="170"/>
      <c r="E917" s="170"/>
      <c r="F917" s="170"/>
      <c r="G917" s="170"/>
      <c r="H917" s="170"/>
    </row>
    <row r="918" spans="1:8">
      <c r="A918" s="169"/>
      <c r="B918" s="170"/>
      <c r="C918" s="170"/>
      <c r="D918" s="170"/>
      <c r="E918" s="170"/>
      <c r="F918" s="170"/>
      <c r="G918" s="170"/>
      <c r="H918" s="170"/>
    </row>
    <row r="919" spans="1:8">
      <c r="A919" s="169"/>
      <c r="B919" s="170"/>
      <c r="C919" s="170"/>
      <c r="D919" s="170"/>
      <c r="E919" s="170"/>
      <c r="F919" s="170"/>
      <c r="G919" s="170"/>
      <c r="H919" s="170"/>
    </row>
    <row r="920" spans="1:8">
      <c r="A920" s="169"/>
      <c r="B920" s="170"/>
      <c r="C920" s="170"/>
      <c r="D920" s="170"/>
      <c r="E920" s="170"/>
      <c r="F920" s="170"/>
      <c r="G920" s="170"/>
      <c r="H920" s="170"/>
    </row>
    <row r="921" spans="1:8">
      <c r="A921" s="169"/>
      <c r="B921" s="170"/>
      <c r="C921" s="170"/>
      <c r="D921" s="170"/>
      <c r="E921" s="170"/>
      <c r="F921" s="170"/>
      <c r="G921" s="170"/>
      <c r="H921" s="170"/>
    </row>
    <row r="922" spans="1:8">
      <c r="A922" s="169"/>
      <c r="B922" s="170"/>
      <c r="C922" s="170"/>
      <c r="D922" s="170"/>
      <c r="E922" s="170"/>
      <c r="F922" s="170"/>
      <c r="G922" s="170"/>
      <c r="H922" s="170"/>
    </row>
    <row r="923" spans="1:8">
      <c r="A923" s="169"/>
      <c r="B923" s="170"/>
      <c r="C923" s="170"/>
      <c r="D923" s="170"/>
      <c r="E923" s="170"/>
      <c r="F923" s="170"/>
      <c r="G923" s="170"/>
      <c r="H923" s="170"/>
    </row>
    <row r="924" spans="1:8">
      <c r="A924" s="169"/>
      <c r="B924" s="170"/>
      <c r="C924" s="170"/>
      <c r="D924" s="170"/>
      <c r="E924" s="170"/>
      <c r="F924" s="170"/>
      <c r="G924" s="170"/>
      <c r="H924" s="170"/>
    </row>
    <row r="925" spans="1:8">
      <c r="A925" s="169"/>
      <c r="B925" s="170"/>
      <c r="C925" s="170"/>
      <c r="D925" s="170"/>
      <c r="E925" s="170"/>
      <c r="F925" s="170"/>
      <c r="G925" s="170"/>
      <c r="H925" s="170"/>
    </row>
    <row r="926" spans="1:8">
      <c r="A926" s="169"/>
      <c r="B926" s="170"/>
      <c r="C926" s="170"/>
      <c r="D926" s="170"/>
      <c r="E926" s="170"/>
      <c r="F926" s="170"/>
      <c r="G926" s="170"/>
      <c r="H926" s="170"/>
    </row>
    <row r="927" spans="1:8">
      <c r="A927" s="169"/>
      <c r="B927" s="170"/>
      <c r="C927" s="170"/>
      <c r="D927" s="170"/>
      <c r="E927" s="170"/>
      <c r="F927" s="170"/>
      <c r="G927" s="170"/>
      <c r="H927" s="170"/>
    </row>
    <row r="928" spans="1:8">
      <c r="A928" s="169"/>
      <c r="B928" s="170"/>
      <c r="C928" s="170"/>
      <c r="D928" s="170"/>
      <c r="E928" s="170"/>
      <c r="F928" s="170"/>
      <c r="G928" s="170"/>
      <c r="H928" s="170"/>
    </row>
    <row r="929" spans="1:8">
      <c r="A929" s="169"/>
      <c r="B929" s="170"/>
      <c r="C929" s="170"/>
      <c r="D929" s="170"/>
      <c r="E929" s="170"/>
      <c r="F929" s="170"/>
      <c r="G929" s="170"/>
      <c r="H929" s="170"/>
    </row>
    <row r="930" spans="1:8">
      <c r="A930" s="169"/>
      <c r="B930" s="170"/>
      <c r="C930" s="170"/>
      <c r="D930" s="170"/>
      <c r="E930" s="170"/>
      <c r="F930" s="170"/>
      <c r="G930" s="170"/>
      <c r="H930" s="170"/>
    </row>
    <row r="931" spans="1:8">
      <c r="A931" s="169"/>
      <c r="B931" s="170"/>
      <c r="C931" s="170"/>
      <c r="D931" s="170"/>
      <c r="E931" s="170"/>
      <c r="F931" s="170"/>
      <c r="G931" s="170"/>
      <c r="H931" s="170"/>
    </row>
    <row r="932" spans="1:8">
      <c r="A932" s="169"/>
      <c r="B932" s="170"/>
      <c r="C932" s="170"/>
      <c r="D932" s="170"/>
      <c r="E932" s="170"/>
      <c r="F932" s="170"/>
      <c r="G932" s="170"/>
      <c r="H932" s="170"/>
    </row>
    <row r="933" spans="1:8">
      <c r="A933" s="169"/>
      <c r="B933" s="170"/>
      <c r="C933" s="170"/>
      <c r="D933" s="170"/>
      <c r="E933" s="170"/>
      <c r="F933" s="170"/>
      <c r="G933" s="170"/>
      <c r="H933" s="170"/>
    </row>
    <row r="934" spans="1:8">
      <c r="A934" s="169"/>
      <c r="B934" s="170"/>
      <c r="C934" s="170"/>
      <c r="D934" s="170"/>
      <c r="E934" s="170"/>
      <c r="F934" s="170"/>
      <c r="G934" s="170"/>
      <c r="H934" s="170"/>
    </row>
    <row r="935" spans="1:8">
      <c r="A935" s="169"/>
      <c r="B935" s="170"/>
      <c r="C935" s="170"/>
      <c r="D935" s="170"/>
      <c r="E935" s="170"/>
      <c r="F935" s="170"/>
      <c r="G935" s="170"/>
      <c r="H935" s="170"/>
    </row>
    <row r="936" spans="1:8">
      <c r="A936" s="169"/>
      <c r="B936" s="170"/>
      <c r="C936" s="170"/>
      <c r="D936" s="170"/>
      <c r="E936" s="170"/>
      <c r="F936" s="170"/>
      <c r="G936" s="170"/>
      <c r="H936" s="170"/>
    </row>
    <row r="937" spans="1:8">
      <c r="A937" s="169"/>
      <c r="B937" s="170"/>
      <c r="C937" s="170"/>
      <c r="D937" s="170"/>
      <c r="E937" s="170"/>
      <c r="F937" s="170"/>
      <c r="G937" s="170"/>
      <c r="H937" s="170"/>
    </row>
    <row r="938" spans="1:8">
      <c r="A938" s="169"/>
      <c r="B938" s="170"/>
      <c r="C938" s="170"/>
      <c r="D938" s="170"/>
      <c r="E938" s="170"/>
      <c r="F938" s="170"/>
      <c r="G938" s="170"/>
      <c r="H938" s="170"/>
    </row>
    <row r="939" spans="1:8">
      <c r="A939" s="169"/>
      <c r="B939" s="170"/>
      <c r="C939" s="170"/>
      <c r="D939" s="170"/>
      <c r="E939" s="170"/>
      <c r="F939" s="170"/>
      <c r="G939" s="170"/>
      <c r="H939" s="170"/>
    </row>
    <row r="940" spans="1:8">
      <c r="A940" s="169"/>
      <c r="B940" s="170"/>
      <c r="C940" s="170"/>
      <c r="D940" s="170"/>
      <c r="E940" s="170"/>
      <c r="F940" s="170"/>
      <c r="G940" s="170"/>
      <c r="H940" s="170"/>
    </row>
    <row r="941" spans="1:8">
      <c r="A941" s="169"/>
      <c r="B941" s="170"/>
      <c r="C941" s="170"/>
      <c r="D941" s="170"/>
      <c r="E941" s="170"/>
      <c r="F941" s="170"/>
      <c r="G941" s="170"/>
      <c r="H941" s="170"/>
    </row>
    <row r="942" spans="1:8">
      <c r="A942" s="169"/>
      <c r="B942" s="170"/>
      <c r="C942" s="170"/>
      <c r="D942" s="170"/>
      <c r="E942" s="170"/>
      <c r="F942" s="170"/>
      <c r="G942" s="170"/>
      <c r="H942" s="170"/>
    </row>
    <row r="943" spans="1:8">
      <c r="A943" s="169"/>
      <c r="B943" s="170"/>
      <c r="C943" s="170"/>
      <c r="D943" s="170"/>
      <c r="E943" s="170"/>
      <c r="F943" s="170"/>
      <c r="G943" s="170"/>
      <c r="H943" s="170"/>
    </row>
    <row r="944" spans="1:8">
      <c r="A944" s="169"/>
      <c r="B944" s="170"/>
      <c r="C944" s="170"/>
      <c r="D944" s="170"/>
      <c r="E944" s="170"/>
      <c r="F944" s="170"/>
      <c r="G944" s="170"/>
      <c r="H944" s="170"/>
    </row>
    <row r="945" spans="1:8">
      <c r="A945" s="169"/>
      <c r="B945" s="170"/>
      <c r="C945" s="170"/>
      <c r="D945" s="170"/>
      <c r="E945" s="170"/>
      <c r="F945" s="170"/>
      <c r="G945" s="170"/>
      <c r="H945" s="170"/>
    </row>
    <row r="946" spans="1:8">
      <c r="A946" s="169"/>
      <c r="B946" s="170"/>
      <c r="C946" s="170"/>
      <c r="D946" s="170"/>
      <c r="E946" s="170"/>
      <c r="F946" s="170"/>
      <c r="G946" s="170"/>
      <c r="H946" s="170"/>
    </row>
    <row r="947" spans="1:8">
      <c r="A947" s="169"/>
      <c r="B947" s="170"/>
      <c r="C947" s="170"/>
      <c r="D947" s="170"/>
      <c r="E947" s="170"/>
      <c r="F947" s="170"/>
      <c r="G947" s="170"/>
      <c r="H947" s="170"/>
    </row>
    <row r="948" spans="1:8">
      <c r="A948" s="169"/>
      <c r="B948" s="170"/>
      <c r="C948" s="170"/>
      <c r="D948" s="170"/>
      <c r="E948" s="170"/>
      <c r="F948" s="170"/>
      <c r="G948" s="170"/>
      <c r="H948" s="170"/>
    </row>
    <row r="949" spans="1:8">
      <c r="A949" s="169"/>
      <c r="B949" s="170"/>
      <c r="C949" s="170"/>
      <c r="D949" s="170"/>
      <c r="E949" s="170"/>
      <c r="F949" s="170"/>
      <c r="G949" s="170"/>
      <c r="H949" s="170"/>
    </row>
    <row r="950" spans="1:8">
      <c r="A950" s="169"/>
      <c r="B950" s="170"/>
      <c r="C950" s="170"/>
      <c r="D950" s="170"/>
      <c r="E950" s="170"/>
      <c r="F950" s="170"/>
      <c r="G950" s="170"/>
      <c r="H950" s="170"/>
    </row>
    <row r="951" spans="1:8">
      <c r="A951" s="169"/>
      <c r="B951" s="170"/>
      <c r="C951" s="170"/>
      <c r="D951" s="170"/>
      <c r="E951" s="170"/>
      <c r="F951" s="170"/>
      <c r="G951" s="170"/>
      <c r="H951" s="170"/>
    </row>
    <row r="952" spans="1:8">
      <c r="A952" s="169"/>
      <c r="B952" s="170"/>
      <c r="C952" s="170"/>
      <c r="D952" s="170"/>
      <c r="E952" s="170"/>
      <c r="F952" s="170"/>
      <c r="G952" s="170"/>
      <c r="H952" s="170"/>
    </row>
    <row r="953" spans="1:8">
      <c r="A953" s="169"/>
      <c r="B953" s="170"/>
      <c r="C953" s="170"/>
      <c r="D953" s="170"/>
      <c r="E953" s="170"/>
      <c r="F953" s="170"/>
      <c r="G953" s="170"/>
      <c r="H953" s="170"/>
    </row>
    <row r="954" spans="1:8">
      <c r="A954" s="169"/>
      <c r="B954" s="170"/>
      <c r="C954" s="170"/>
      <c r="D954" s="170"/>
      <c r="E954" s="170"/>
      <c r="F954" s="170"/>
      <c r="G954" s="170"/>
      <c r="H954" s="170"/>
    </row>
    <row r="955" spans="1:8">
      <c r="A955" s="169"/>
      <c r="B955" s="170"/>
      <c r="C955" s="170"/>
      <c r="D955" s="170"/>
      <c r="E955" s="170"/>
      <c r="F955" s="170"/>
      <c r="G955" s="170"/>
      <c r="H955" s="170"/>
    </row>
    <row r="956" spans="1:8">
      <c r="A956" s="169"/>
      <c r="B956" s="170"/>
      <c r="C956" s="170"/>
      <c r="D956" s="170"/>
      <c r="E956" s="170"/>
      <c r="F956" s="170"/>
      <c r="G956" s="170"/>
      <c r="H956" s="170"/>
    </row>
    <row r="957" spans="1:8">
      <c r="A957" s="169"/>
      <c r="B957" s="170"/>
      <c r="C957" s="170"/>
      <c r="D957" s="170"/>
      <c r="E957" s="170"/>
      <c r="F957" s="170"/>
      <c r="G957" s="170"/>
      <c r="H957" s="170"/>
    </row>
    <row r="958" spans="1:8">
      <c r="A958" s="169"/>
      <c r="B958" s="170"/>
      <c r="C958" s="170"/>
      <c r="D958" s="170"/>
      <c r="E958" s="170"/>
      <c r="F958" s="170"/>
      <c r="G958" s="170"/>
      <c r="H958" s="170"/>
    </row>
    <row r="959" spans="1:8">
      <c r="A959" s="169"/>
      <c r="B959" s="170"/>
      <c r="C959" s="170"/>
      <c r="D959" s="170"/>
      <c r="E959" s="170"/>
      <c r="F959" s="170"/>
      <c r="G959" s="170"/>
      <c r="H959" s="170"/>
    </row>
    <row r="960" spans="1:8">
      <c r="A960" s="169"/>
      <c r="B960" s="170"/>
      <c r="C960" s="170"/>
      <c r="D960" s="170"/>
      <c r="E960" s="170"/>
      <c r="F960" s="170"/>
      <c r="G960" s="170"/>
      <c r="H960" s="170"/>
    </row>
    <row r="961" spans="1:8">
      <c r="A961" s="169"/>
      <c r="B961" s="170"/>
      <c r="C961" s="170"/>
      <c r="D961" s="170"/>
      <c r="E961" s="170"/>
      <c r="F961" s="170"/>
      <c r="G961" s="170"/>
      <c r="H961" s="170"/>
    </row>
    <row r="962" spans="1:8">
      <c r="A962" s="169"/>
      <c r="B962" s="170"/>
      <c r="C962" s="170"/>
      <c r="D962" s="170"/>
      <c r="E962" s="170"/>
      <c r="F962" s="170"/>
      <c r="G962" s="170"/>
      <c r="H962" s="170"/>
    </row>
    <row r="963" spans="1:8">
      <c r="A963" s="169"/>
      <c r="B963" s="170"/>
      <c r="C963" s="170"/>
      <c r="D963" s="170"/>
      <c r="E963" s="170"/>
      <c r="F963" s="170"/>
      <c r="G963" s="170"/>
      <c r="H963" s="170"/>
    </row>
    <row r="964" spans="1:8">
      <c r="A964" s="169"/>
      <c r="B964" s="170"/>
      <c r="C964" s="170"/>
      <c r="D964" s="170"/>
      <c r="E964" s="170"/>
      <c r="F964" s="170"/>
      <c r="G964" s="170"/>
      <c r="H964" s="170"/>
    </row>
    <row r="965" spans="1:8">
      <c r="A965" s="169"/>
      <c r="B965" s="170"/>
      <c r="C965" s="170"/>
      <c r="D965" s="170"/>
      <c r="E965" s="170"/>
      <c r="F965" s="170"/>
      <c r="G965" s="170"/>
      <c r="H965" s="170"/>
    </row>
    <row r="966" spans="1:8">
      <c r="A966" s="169"/>
      <c r="B966" s="170"/>
      <c r="C966" s="170"/>
      <c r="D966" s="170"/>
      <c r="E966" s="170"/>
      <c r="F966" s="170"/>
      <c r="G966" s="170"/>
      <c r="H966" s="170"/>
    </row>
    <row r="967" spans="1:8">
      <c r="A967" s="169"/>
      <c r="B967" s="170"/>
      <c r="C967" s="170"/>
      <c r="D967" s="170"/>
      <c r="E967" s="170"/>
      <c r="F967" s="170"/>
      <c r="G967" s="170"/>
      <c r="H967" s="170"/>
    </row>
    <row r="968" spans="1:8">
      <c r="A968" s="169"/>
      <c r="B968" s="170"/>
      <c r="C968" s="170"/>
      <c r="D968" s="170"/>
      <c r="E968" s="170"/>
      <c r="F968" s="170"/>
      <c r="G968" s="170"/>
      <c r="H968" s="170"/>
    </row>
    <row r="969" spans="1:8">
      <c r="A969" s="169"/>
      <c r="B969" s="170"/>
      <c r="C969" s="170"/>
      <c r="D969" s="170"/>
      <c r="E969" s="170"/>
      <c r="F969" s="170"/>
      <c r="G969" s="170"/>
      <c r="H969" s="170"/>
    </row>
    <row r="970" spans="1:8">
      <c r="A970" s="169"/>
      <c r="B970" s="170"/>
      <c r="C970" s="170"/>
      <c r="D970" s="170"/>
      <c r="E970" s="170"/>
      <c r="F970" s="170"/>
      <c r="G970" s="170"/>
      <c r="H970" s="170"/>
    </row>
    <row r="971" spans="1:8">
      <c r="A971" s="169"/>
      <c r="B971" s="170"/>
      <c r="C971" s="170"/>
      <c r="D971" s="170"/>
      <c r="E971" s="170"/>
      <c r="F971" s="170"/>
      <c r="G971" s="170"/>
      <c r="H971" s="170"/>
    </row>
    <row r="972" spans="1:8">
      <c r="A972" s="169"/>
      <c r="B972" s="170"/>
      <c r="C972" s="170"/>
      <c r="D972" s="170"/>
      <c r="E972" s="170"/>
      <c r="F972" s="170"/>
      <c r="G972" s="170"/>
      <c r="H972" s="170"/>
    </row>
    <row r="973" spans="1:8">
      <c r="A973" s="169"/>
      <c r="B973" s="170"/>
      <c r="C973" s="170"/>
      <c r="D973" s="170"/>
      <c r="E973" s="170"/>
      <c r="F973" s="170"/>
      <c r="G973" s="170"/>
      <c r="H973" s="170"/>
    </row>
    <row r="974" spans="1:8">
      <c r="A974" s="169"/>
      <c r="B974" s="170"/>
      <c r="C974" s="170"/>
      <c r="D974" s="170"/>
      <c r="E974" s="170"/>
      <c r="F974" s="170"/>
      <c r="G974" s="170"/>
      <c r="H974" s="170"/>
    </row>
    <row r="975" spans="1:8">
      <c r="A975" s="169"/>
      <c r="B975" s="170"/>
      <c r="C975" s="170"/>
      <c r="D975" s="170"/>
      <c r="E975" s="170"/>
      <c r="F975" s="170"/>
      <c r="G975" s="170"/>
      <c r="H975" s="170"/>
    </row>
    <row r="976" spans="1:8">
      <c r="A976" s="169"/>
      <c r="B976" s="170"/>
      <c r="C976" s="170"/>
      <c r="D976" s="170"/>
      <c r="E976" s="170"/>
      <c r="F976" s="170"/>
      <c r="G976" s="170"/>
      <c r="H976" s="170"/>
    </row>
    <row r="977" spans="1:8">
      <c r="A977" s="169"/>
      <c r="B977" s="170"/>
      <c r="C977" s="170"/>
      <c r="D977" s="170"/>
      <c r="E977" s="170"/>
      <c r="F977" s="170"/>
      <c r="G977" s="170"/>
      <c r="H977" s="170"/>
    </row>
    <row r="978" spans="1:8">
      <c r="A978" s="169"/>
      <c r="B978" s="170"/>
      <c r="C978" s="170"/>
      <c r="D978" s="170"/>
      <c r="E978" s="170"/>
      <c r="F978" s="170"/>
      <c r="G978" s="170"/>
      <c r="H978" s="170"/>
    </row>
    <row r="979" spans="1:8">
      <c r="A979" s="169"/>
      <c r="B979" s="170"/>
      <c r="C979" s="170"/>
      <c r="D979" s="170"/>
      <c r="E979" s="170"/>
      <c r="F979" s="170"/>
      <c r="G979" s="170"/>
      <c r="H979" s="170"/>
    </row>
    <row r="980" spans="1:8">
      <c r="A980" s="169"/>
      <c r="B980" s="170"/>
      <c r="C980" s="170"/>
      <c r="D980" s="170"/>
      <c r="E980" s="170"/>
      <c r="F980" s="170"/>
      <c r="G980" s="170"/>
      <c r="H980" s="170"/>
    </row>
    <row r="981" spans="1:8">
      <c r="A981" s="169"/>
      <c r="B981" s="170"/>
      <c r="C981" s="170"/>
      <c r="D981" s="170"/>
      <c r="E981" s="170"/>
      <c r="F981" s="170"/>
      <c r="G981" s="170"/>
      <c r="H981" s="170"/>
    </row>
    <row r="982" spans="1:8">
      <c r="A982" s="169"/>
      <c r="B982" s="170"/>
      <c r="C982" s="170"/>
      <c r="D982" s="170"/>
      <c r="E982" s="170"/>
      <c r="F982" s="170"/>
      <c r="G982" s="170"/>
      <c r="H982" s="170"/>
    </row>
    <row r="983" spans="1:8">
      <c r="A983" s="169"/>
      <c r="B983" s="170"/>
      <c r="C983" s="170"/>
      <c r="D983" s="170"/>
      <c r="E983" s="170"/>
      <c r="F983" s="170"/>
      <c r="G983" s="170"/>
      <c r="H983" s="170"/>
    </row>
    <row r="984" spans="1:8">
      <c r="A984" s="169"/>
      <c r="B984" s="170"/>
      <c r="C984" s="170"/>
      <c r="D984" s="170"/>
      <c r="E984" s="170"/>
      <c r="F984" s="170"/>
      <c r="G984" s="170"/>
      <c r="H984" s="170"/>
    </row>
    <row r="985" spans="1:8">
      <c r="A985" s="169"/>
      <c r="B985" s="170"/>
      <c r="C985" s="170"/>
      <c r="D985" s="170"/>
      <c r="E985" s="170"/>
      <c r="F985" s="170"/>
      <c r="G985" s="170"/>
      <c r="H985" s="170"/>
    </row>
    <row r="986" spans="1:8">
      <c r="A986" s="169"/>
      <c r="B986" s="170"/>
      <c r="C986" s="170"/>
      <c r="D986" s="170"/>
      <c r="E986" s="170"/>
      <c r="F986" s="170"/>
      <c r="G986" s="170"/>
      <c r="H986" s="170"/>
    </row>
    <row r="987" spans="1:8">
      <c r="A987" s="169"/>
      <c r="B987" s="170"/>
      <c r="C987" s="170"/>
      <c r="D987" s="170"/>
      <c r="E987" s="170"/>
      <c r="F987" s="170"/>
      <c r="G987" s="170"/>
      <c r="H987" s="170"/>
    </row>
    <row r="988" spans="1:8">
      <c r="A988" s="169"/>
      <c r="B988" s="170"/>
      <c r="C988" s="170"/>
      <c r="D988" s="170"/>
      <c r="E988" s="170"/>
      <c r="F988" s="170"/>
      <c r="G988" s="170"/>
      <c r="H988" s="170"/>
    </row>
    <row r="989" spans="1:8">
      <c r="A989" s="169"/>
      <c r="B989" s="170"/>
      <c r="C989" s="170"/>
      <c r="D989" s="170"/>
      <c r="E989" s="170"/>
      <c r="F989" s="170"/>
      <c r="G989" s="170"/>
      <c r="H989" s="170"/>
    </row>
    <row r="990" spans="1:8">
      <c r="A990" s="169"/>
      <c r="B990" s="170"/>
      <c r="C990" s="170"/>
      <c r="D990" s="170"/>
      <c r="E990" s="170"/>
      <c r="F990" s="170"/>
      <c r="G990" s="170"/>
      <c r="H990" s="170"/>
    </row>
    <row r="991" spans="1:8">
      <c r="A991" s="169"/>
      <c r="B991" s="170"/>
      <c r="C991" s="170"/>
      <c r="D991" s="170"/>
      <c r="E991" s="170"/>
      <c r="F991" s="170"/>
      <c r="G991" s="170"/>
      <c r="H991" s="170"/>
    </row>
    <row r="992" spans="1:8">
      <c r="A992" s="169"/>
      <c r="B992" s="170"/>
      <c r="C992" s="170"/>
      <c r="D992" s="170"/>
      <c r="E992" s="170"/>
      <c r="F992" s="170"/>
      <c r="G992" s="170"/>
      <c r="H992" s="170"/>
    </row>
    <row r="993" spans="1:8">
      <c r="A993" s="169"/>
      <c r="B993" s="170"/>
      <c r="C993" s="170"/>
      <c r="D993" s="170"/>
      <c r="E993" s="170"/>
      <c r="F993" s="170"/>
      <c r="G993" s="170"/>
      <c r="H993" s="170"/>
    </row>
    <row r="994" spans="1:8">
      <c r="A994" s="169"/>
      <c r="B994" s="170"/>
      <c r="C994" s="170"/>
      <c r="D994" s="170"/>
      <c r="E994" s="170"/>
      <c r="F994" s="170"/>
      <c r="G994" s="170"/>
      <c r="H994" s="170"/>
    </row>
    <row r="995" spans="1:8">
      <c r="A995" s="169"/>
      <c r="B995" s="170"/>
      <c r="C995" s="170"/>
      <c r="D995" s="170"/>
      <c r="E995" s="170"/>
      <c r="F995" s="170"/>
      <c r="G995" s="170"/>
      <c r="H995" s="170"/>
    </row>
    <row r="996" spans="1:8">
      <c r="A996" s="169"/>
      <c r="B996" s="170"/>
      <c r="C996" s="170"/>
      <c r="D996" s="170"/>
      <c r="E996" s="170"/>
      <c r="F996" s="170"/>
      <c r="G996" s="170"/>
      <c r="H996" s="170"/>
    </row>
    <row r="997" spans="1:8">
      <c r="A997" s="169"/>
      <c r="B997" s="170"/>
      <c r="C997" s="170"/>
      <c r="D997" s="170"/>
      <c r="E997" s="170"/>
      <c r="F997" s="170"/>
      <c r="G997" s="170"/>
      <c r="H997" s="170"/>
    </row>
    <row r="998" spans="1:8">
      <c r="A998" s="169"/>
      <c r="B998" s="170"/>
      <c r="C998" s="170"/>
      <c r="D998" s="170"/>
      <c r="E998" s="170"/>
      <c r="F998" s="170"/>
      <c r="G998" s="170"/>
      <c r="H998" s="170"/>
    </row>
    <row r="999" spans="1:8">
      <c r="A999" s="169"/>
      <c r="B999" s="170"/>
      <c r="C999" s="170"/>
      <c r="D999" s="170"/>
      <c r="E999" s="170"/>
      <c r="F999" s="170"/>
      <c r="G999" s="170"/>
      <c r="H999" s="170"/>
    </row>
    <row r="1000" spans="1:8">
      <c r="A1000" s="169"/>
      <c r="B1000" s="170"/>
      <c r="C1000" s="170"/>
      <c r="D1000" s="170"/>
      <c r="E1000" s="170"/>
      <c r="F1000" s="170"/>
      <c r="G1000" s="170"/>
      <c r="H1000" s="170"/>
    </row>
    <row r="1001" spans="1:8">
      <c r="A1001" s="169"/>
      <c r="B1001" s="170"/>
      <c r="C1001" s="170"/>
      <c r="D1001" s="170"/>
      <c r="E1001" s="170"/>
      <c r="F1001" s="170"/>
      <c r="G1001" s="170"/>
      <c r="H1001" s="170"/>
    </row>
    <row r="1002" spans="1:8">
      <c r="A1002" s="169"/>
      <c r="B1002" s="170"/>
      <c r="C1002" s="170"/>
      <c r="D1002" s="170"/>
      <c r="E1002" s="170"/>
      <c r="F1002" s="170"/>
      <c r="G1002" s="170"/>
      <c r="H1002" s="170"/>
    </row>
    <row r="1003" spans="1:8">
      <c r="A1003" s="169"/>
      <c r="B1003" s="170"/>
      <c r="C1003" s="170"/>
      <c r="D1003" s="170"/>
      <c r="E1003" s="170"/>
      <c r="F1003" s="170"/>
      <c r="G1003" s="170"/>
      <c r="H1003" s="170"/>
    </row>
    <row r="1004" spans="1:8">
      <c r="A1004" s="169"/>
      <c r="B1004" s="170"/>
      <c r="C1004" s="170"/>
      <c r="D1004" s="170"/>
      <c r="E1004" s="170"/>
      <c r="F1004" s="170"/>
      <c r="G1004" s="170"/>
      <c r="H1004" s="170"/>
    </row>
    <row r="1005" spans="1:8">
      <c r="A1005" s="169"/>
      <c r="B1005" s="170"/>
      <c r="C1005" s="170"/>
      <c r="D1005" s="170"/>
      <c r="E1005" s="170"/>
      <c r="F1005" s="170"/>
      <c r="G1005" s="170"/>
      <c r="H1005" s="170"/>
    </row>
    <row r="1006" spans="1:8">
      <c r="A1006" s="169"/>
      <c r="B1006" s="170"/>
      <c r="C1006" s="170"/>
      <c r="D1006" s="170"/>
      <c r="E1006" s="170"/>
      <c r="F1006" s="170"/>
      <c r="G1006" s="170"/>
      <c r="H1006" s="170"/>
    </row>
    <row r="1007" spans="1:8">
      <c r="A1007" s="169"/>
      <c r="B1007" s="170"/>
      <c r="C1007" s="170"/>
      <c r="D1007" s="170"/>
      <c r="E1007" s="170"/>
      <c r="F1007" s="170"/>
      <c r="G1007" s="170"/>
      <c r="H1007" s="170"/>
    </row>
    <row r="1008" spans="1:8">
      <c r="A1008" s="169"/>
      <c r="B1008" s="170"/>
      <c r="C1008" s="170"/>
      <c r="D1008" s="170"/>
      <c r="E1008" s="170"/>
      <c r="F1008" s="170"/>
      <c r="G1008" s="170"/>
      <c r="H1008" s="170"/>
    </row>
    <row r="1009" spans="1:8">
      <c r="A1009" s="169"/>
      <c r="B1009" s="170"/>
      <c r="C1009" s="170"/>
      <c r="D1009" s="170"/>
      <c r="E1009" s="170"/>
      <c r="F1009" s="170"/>
      <c r="G1009" s="170"/>
      <c r="H1009" s="170"/>
    </row>
    <row r="1010" spans="1:8">
      <c r="A1010" s="169"/>
      <c r="B1010" s="170"/>
      <c r="C1010" s="170"/>
      <c r="D1010" s="170"/>
      <c r="E1010" s="170"/>
      <c r="F1010" s="170"/>
      <c r="G1010" s="170"/>
      <c r="H1010" s="170"/>
    </row>
    <row r="1011" spans="1:8">
      <c r="A1011" s="169"/>
      <c r="B1011" s="170"/>
      <c r="C1011" s="170"/>
      <c r="D1011" s="170"/>
      <c r="E1011" s="170"/>
      <c r="F1011" s="170"/>
      <c r="G1011" s="170"/>
      <c r="H1011" s="170"/>
    </row>
    <row r="1012" spans="1:8">
      <c r="A1012" s="169"/>
      <c r="B1012" s="170"/>
      <c r="C1012" s="170"/>
      <c r="D1012" s="170"/>
      <c r="E1012" s="170"/>
      <c r="F1012" s="170"/>
      <c r="G1012" s="170"/>
      <c r="H1012" s="170"/>
    </row>
    <row r="1013" spans="1:8">
      <c r="A1013" s="169"/>
      <c r="B1013" s="170"/>
      <c r="C1013" s="170"/>
      <c r="D1013" s="170"/>
      <c r="E1013" s="170"/>
      <c r="F1013" s="170"/>
      <c r="G1013" s="170"/>
      <c r="H1013" s="170"/>
    </row>
    <row r="1014" spans="1:8">
      <c r="A1014" s="169"/>
      <c r="B1014" s="170"/>
      <c r="C1014" s="170"/>
      <c r="D1014" s="170"/>
      <c r="E1014" s="170"/>
      <c r="F1014" s="170"/>
      <c r="G1014" s="170"/>
      <c r="H1014" s="170"/>
    </row>
    <row r="1015" spans="1:8">
      <c r="A1015" s="169"/>
      <c r="B1015" s="170"/>
      <c r="C1015" s="170"/>
      <c r="D1015" s="170"/>
      <c r="E1015" s="170"/>
      <c r="F1015" s="170"/>
      <c r="G1015" s="170"/>
      <c r="H1015" s="170"/>
    </row>
    <row r="1016" spans="1:8">
      <c r="A1016" s="169"/>
      <c r="B1016" s="170"/>
      <c r="C1016" s="170"/>
      <c r="D1016" s="170"/>
      <c r="E1016" s="170"/>
      <c r="F1016" s="170"/>
      <c r="G1016" s="170"/>
      <c r="H1016" s="170"/>
    </row>
    <row r="1017" spans="1:8">
      <c r="A1017" s="169"/>
      <c r="B1017" s="170"/>
      <c r="C1017" s="170"/>
      <c r="D1017" s="170"/>
      <c r="E1017" s="170"/>
      <c r="F1017" s="170"/>
      <c r="G1017" s="170"/>
      <c r="H1017" s="170"/>
    </row>
    <row r="1018" spans="1:8">
      <c r="A1018" s="169"/>
      <c r="B1018" s="170"/>
      <c r="C1018" s="170"/>
      <c r="D1018" s="170"/>
      <c r="E1018" s="170"/>
      <c r="F1018" s="170"/>
      <c r="G1018" s="170"/>
      <c r="H1018" s="170"/>
    </row>
    <row r="1019" spans="1:8">
      <c r="A1019" s="169"/>
      <c r="B1019" s="170"/>
      <c r="C1019" s="170"/>
      <c r="D1019" s="170"/>
      <c r="E1019" s="170"/>
      <c r="F1019" s="170"/>
      <c r="G1019" s="170"/>
      <c r="H1019" s="170"/>
    </row>
    <row r="1020" spans="1:8">
      <c r="A1020" s="169"/>
      <c r="B1020" s="170"/>
      <c r="C1020" s="170"/>
      <c r="D1020" s="170"/>
      <c r="E1020" s="170"/>
      <c r="F1020" s="170"/>
      <c r="G1020" s="170"/>
      <c r="H1020" s="170"/>
    </row>
    <row r="1021" spans="1:8">
      <c r="A1021" s="169"/>
      <c r="B1021" s="170"/>
      <c r="C1021" s="170"/>
      <c r="D1021" s="170"/>
      <c r="E1021" s="170"/>
      <c r="F1021" s="170"/>
      <c r="G1021" s="170"/>
      <c r="H1021" s="170"/>
    </row>
    <row r="1022" spans="1:8">
      <c r="A1022" s="169"/>
      <c r="B1022" s="170"/>
      <c r="C1022" s="170"/>
      <c r="D1022" s="170"/>
      <c r="E1022" s="170"/>
      <c r="F1022" s="170"/>
      <c r="G1022" s="170"/>
      <c r="H1022" s="170"/>
    </row>
    <row r="1023" spans="1:8">
      <c r="A1023" s="169"/>
      <c r="B1023" s="170"/>
      <c r="C1023" s="170"/>
      <c r="D1023" s="170"/>
      <c r="E1023" s="170"/>
      <c r="F1023" s="170"/>
      <c r="G1023" s="170"/>
      <c r="H1023" s="170"/>
    </row>
    <row r="1024" spans="1:8">
      <c r="A1024" s="169"/>
      <c r="B1024" s="170"/>
      <c r="C1024" s="170"/>
      <c r="D1024" s="170"/>
      <c r="E1024" s="170"/>
      <c r="F1024" s="170"/>
      <c r="G1024" s="170"/>
      <c r="H1024" s="170"/>
    </row>
    <row r="1025" spans="1:8">
      <c r="A1025" s="169"/>
      <c r="B1025" s="170"/>
      <c r="C1025" s="170"/>
      <c r="D1025" s="170"/>
      <c r="E1025" s="170"/>
      <c r="F1025" s="170"/>
      <c r="G1025" s="170"/>
      <c r="H1025" s="170"/>
    </row>
    <row r="1026" spans="1:8">
      <c r="A1026" s="169"/>
      <c r="B1026" s="170"/>
      <c r="C1026" s="170"/>
      <c r="D1026" s="170"/>
      <c r="E1026" s="170"/>
      <c r="F1026" s="170"/>
      <c r="G1026" s="170"/>
      <c r="H1026" s="170"/>
    </row>
    <row r="1027" spans="1:8">
      <c r="A1027" s="169"/>
      <c r="B1027" s="170"/>
      <c r="C1027" s="170"/>
      <c r="D1027" s="170"/>
      <c r="E1027" s="170"/>
      <c r="F1027" s="170"/>
      <c r="G1027" s="170"/>
      <c r="H1027" s="170"/>
    </row>
    <row r="1028" spans="1:8">
      <c r="A1028" s="169"/>
      <c r="B1028" s="170"/>
      <c r="C1028" s="170"/>
      <c r="D1028" s="170"/>
      <c r="E1028" s="170"/>
      <c r="F1028" s="170"/>
      <c r="G1028" s="170"/>
      <c r="H1028" s="170"/>
    </row>
    <row r="1029" spans="1:8">
      <c r="A1029" s="169"/>
      <c r="B1029" s="170"/>
      <c r="C1029" s="170"/>
      <c r="D1029" s="170"/>
      <c r="E1029" s="170"/>
      <c r="F1029" s="170"/>
      <c r="G1029" s="170"/>
      <c r="H1029" s="170"/>
    </row>
    <row r="1030" spans="1:8">
      <c r="A1030" s="169"/>
      <c r="B1030" s="170"/>
      <c r="C1030" s="170"/>
      <c r="D1030" s="170"/>
      <c r="E1030" s="170"/>
      <c r="F1030" s="170"/>
      <c r="G1030" s="170"/>
      <c r="H1030" s="170"/>
    </row>
    <row r="1031" spans="1:8">
      <c r="A1031" s="169"/>
      <c r="B1031" s="170"/>
      <c r="C1031" s="170"/>
      <c r="D1031" s="170"/>
      <c r="E1031" s="170"/>
      <c r="F1031" s="170"/>
      <c r="G1031" s="170"/>
      <c r="H1031" s="170"/>
    </row>
    <row r="1032" spans="1:8">
      <c r="A1032" s="169"/>
      <c r="B1032" s="170"/>
      <c r="C1032" s="170"/>
      <c r="D1032" s="170"/>
      <c r="E1032" s="170"/>
      <c r="F1032" s="170"/>
      <c r="G1032" s="170"/>
      <c r="H1032" s="170"/>
    </row>
    <row r="1033" spans="1:8">
      <c r="A1033" s="169"/>
      <c r="B1033" s="170"/>
      <c r="C1033" s="170"/>
      <c r="D1033" s="170"/>
      <c r="E1033" s="170"/>
      <c r="F1033" s="170"/>
      <c r="G1033" s="170"/>
      <c r="H1033" s="170"/>
    </row>
    <row r="1034" spans="1:8">
      <c r="A1034" s="169"/>
      <c r="B1034" s="170"/>
      <c r="C1034" s="170"/>
      <c r="D1034" s="170"/>
      <c r="E1034" s="170"/>
      <c r="F1034" s="170"/>
      <c r="G1034" s="170"/>
      <c r="H1034" s="170"/>
    </row>
    <row r="1035" spans="1:8">
      <c r="A1035" s="169"/>
      <c r="B1035" s="170"/>
      <c r="C1035" s="170"/>
      <c r="D1035" s="170"/>
      <c r="E1035" s="170"/>
      <c r="F1035" s="170"/>
      <c r="G1035" s="170"/>
      <c r="H1035" s="170"/>
    </row>
    <row r="1036" spans="1:8">
      <c r="A1036" s="169"/>
      <c r="B1036" s="170"/>
      <c r="C1036" s="170"/>
      <c r="D1036" s="170"/>
      <c r="E1036" s="170"/>
      <c r="F1036" s="170"/>
      <c r="G1036" s="170"/>
      <c r="H1036" s="170"/>
    </row>
    <row r="1037" spans="1:8">
      <c r="A1037" s="169"/>
      <c r="B1037" s="170"/>
      <c r="C1037" s="170"/>
      <c r="D1037" s="170"/>
      <c r="E1037" s="170"/>
      <c r="F1037" s="170"/>
      <c r="G1037" s="170"/>
      <c r="H1037" s="170"/>
    </row>
    <row r="1038" spans="1:8">
      <c r="A1038" s="169"/>
      <c r="B1038" s="170"/>
      <c r="C1038" s="170"/>
      <c r="D1038" s="170"/>
      <c r="E1038" s="170"/>
      <c r="F1038" s="170"/>
      <c r="G1038" s="170"/>
      <c r="H1038" s="170"/>
    </row>
    <row r="1039" spans="1:8">
      <c r="A1039" s="169"/>
      <c r="B1039" s="170"/>
      <c r="C1039" s="170"/>
      <c r="D1039" s="170"/>
      <c r="E1039" s="170"/>
      <c r="F1039" s="170"/>
      <c r="G1039" s="170"/>
      <c r="H1039" s="170"/>
    </row>
    <row r="1040" spans="1:8">
      <c r="A1040" s="169"/>
      <c r="B1040" s="170"/>
      <c r="C1040" s="170"/>
      <c r="D1040" s="170"/>
      <c r="E1040" s="170"/>
      <c r="F1040" s="170"/>
      <c r="G1040" s="170"/>
      <c r="H1040" s="170"/>
    </row>
    <row r="1041" spans="1:8">
      <c r="A1041" s="169"/>
      <c r="B1041" s="170"/>
      <c r="C1041" s="170"/>
      <c r="D1041" s="170"/>
      <c r="E1041" s="170"/>
      <c r="F1041" s="170"/>
      <c r="G1041" s="170"/>
      <c r="H1041" s="170"/>
    </row>
    <row r="1042" spans="1:8">
      <c r="A1042" s="169"/>
      <c r="B1042" s="170"/>
      <c r="C1042" s="170"/>
      <c r="D1042" s="170"/>
      <c r="E1042" s="170"/>
      <c r="F1042" s="170"/>
      <c r="G1042" s="170"/>
      <c r="H1042" s="170"/>
    </row>
    <row r="1043" spans="1:8">
      <c r="A1043" s="169"/>
      <c r="B1043" s="170"/>
      <c r="C1043" s="170"/>
      <c r="D1043" s="170"/>
      <c r="E1043" s="170"/>
      <c r="F1043" s="170"/>
      <c r="G1043" s="170"/>
      <c r="H1043" s="170"/>
    </row>
    <row r="1044" spans="1:8">
      <c r="A1044" s="169"/>
      <c r="B1044" s="170"/>
      <c r="C1044" s="170"/>
      <c r="D1044" s="170"/>
      <c r="E1044" s="170"/>
      <c r="F1044" s="170"/>
      <c r="G1044" s="170"/>
      <c r="H1044" s="170"/>
    </row>
    <row r="1045" spans="1:8">
      <c r="A1045" s="169"/>
      <c r="B1045" s="170"/>
      <c r="C1045" s="170"/>
      <c r="D1045" s="170"/>
      <c r="E1045" s="170"/>
      <c r="F1045" s="170"/>
      <c r="G1045" s="170"/>
      <c r="H1045" s="170"/>
    </row>
    <row r="1046" spans="1:8">
      <c r="A1046" s="169"/>
      <c r="B1046" s="170"/>
      <c r="C1046" s="170"/>
      <c r="D1046" s="170"/>
      <c r="E1046" s="170"/>
      <c r="F1046" s="170"/>
      <c r="G1046" s="170"/>
      <c r="H1046" s="170"/>
    </row>
    <row r="1047" spans="1:8">
      <c r="A1047" s="169"/>
      <c r="B1047" s="170"/>
      <c r="C1047" s="170"/>
      <c r="D1047" s="170"/>
      <c r="E1047" s="170"/>
      <c r="F1047" s="170"/>
      <c r="G1047" s="170"/>
      <c r="H1047" s="170"/>
    </row>
    <row r="1048" spans="1:8">
      <c r="A1048" s="169"/>
      <c r="B1048" s="170"/>
      <c r="C1048" s="170"/>
      <c r="D1048" s="170"/>
      <c r="E1048" s="170"/>
      <c r="F1048" s="170"/>
      <c r="G1048" s="170"/>
      <c r="H1048" s="170"/>
    </row>
    <row r="1049" spans="1:8">
      <c r="A1049" s="169"/>
      <c r="B1049" s="170"/>
      <c r="C1049" s="170"/>
      <c r="D1049" s="170"/>
      <c r="E1049" s="170"/>
      <c r="F1049" s="170"/>
      <c r="G1049" s="170"/>
      <c r="H1049" s="170"/>
    </row>
    <row r="1050" spans="1:8">
      <c r="A1050" s="169"/>
      <c r="B1050" s="170"/>
      <c r="C1050" s="170"/>
      <c r="D1050" s="170"/>
      <c r="E1050" s="170"/>
      <c r="F1050" s="170"/>
      <c r="G1050" s="170"/>
      <c r="H1050" s="170"/>
    </row>
    <row r="1051" spans="1:8">
      <c r="A1051" s="169"/>
      <c r="B1051" s="170"/>
      <c r="C1051" s="170"/>
      <c r="D1051" s="170"/>
      <c r="E1051" s="170"/>
      <c r="F1051" s="170"/>
      <c r="G1051" s="170"/>
      <c r="H1051" s="170"/>
    </row>
    <row r="1052" spans="1:8">
      <c r="A1052" s="169"/>
      <c r="B1052" s="170"/>
      <c r="C1052" s="170"/>
      <c r="D1052" s="170"/>
      <c r="E1052" s="170"/>
      <c r="F1052" s="170"/>
      <c r="G1052" s="170"/>
      <c r="H1052" s="170"/>
    </row>
    <row r="1053" spans="1:8">
      <c r="A1053" s="169"/>
      <c r="B1053" s="170"/>
      <c r="C1053" s="170"/>
      <c r="D1053" s="170"/>
      <c r="E1053" s="170"/>
      <c r="F1053" s="170"/>
      <c r="G1053" s="170"/>
      <c r="H1053" s="170"/>
    </row>
    <row r="1054" spans="1:8">
      <c r="A1054" s="169"/>
      <c r="B1054" s="170"/>
      <c r="C1054" s="170"/>
      <c r="D1054" s="170"/>
      <c r="E1054" s="170"/>
      <c r="F1054" s="170"/>
      <c r="G1054" s="170"/>
      <c r="H1054" s="170"/>
    </row>
    <row r="1055" spans="1:8">
      <c r="A1055" s="169"/>
      <c r="B1055" s="170"/>
      <c r="C1055" s="170"/>
      <c r="D1055" s="170"/>
      <c r="E1055" s="170"/>
      <c r="F1055" s="170"/>
      <c r="G1055" s="170"/>
      <c r="H1055" s="170"/>
    </row>
    <row r="1056" spans="1:8">
      <c r="A1056" s="169"/>
      <c r="B1056" s="170"/>
      <c r="C1056" s="170"/>
      <c r="D1056" s="170"/>
      <c r="E1056" s="170"/>
      <c r="F1056" s="170"/>
      <c r="G1056" s="170"/>
      <c r="H1056" s="170"/>
    </row>
    <row r="1057" spans="1:8">
      <c r="A1057" s="169"/>
      <c r="B1057" s="170"/>
      <c r="C1057" s="170"/>
      <c r="D1057" s="170"/>
      <c r="E1057" s="170"/>
      <c r="F1057" s="170"/>
      <c r="G1057" s="170"/>
      <c r="H1057" s="170"/>
    </row>
    <row r="1058" spans="1:8">
      <c r="A1058" s="169"/>
      <c r="B1058" s="170"/>
      <c r="C1058" s="170"/>
      <c r="D1058" s="170"/>
      <c r="E1058" s="170"/>
      <c r="F1058" s="170"/>
      <c r="G1058" s="170"/>
      <c r="H1058" s="170"/>
    </row>
    <row r="1059" spans="1:8">
      <c r="A1059" s="169"/>
      <c r="B1059" s="170"/>
      <c r="C1059" s="170"/>
      <c r="D1059" s="170"/>
      <c r="E1059" s="170"/>
      <c r="F1059" s="170"/>
      <c r="G1059" s="170"/>
      <c r="H1059" s="170"/>
    </row>
    <row r="1060" spans="1:8">
      <c r="A1060" s="169"/>
      <c r="B1060" s="170"/>
      <c r="C1060" s="170"/>
      <c r="D1060" s="170"/>
      <c r="E1060" s="170"/>
      <c r="F1060" s="170"/>
      <c r="G1060" s="170"/>
      <c r="H1060" s="170"/>
    </row>
    <row r="1061" spans="1:8">
      <c r="A1061" s="169"/>
      <c r="B1061" s="170"/>
      <c r="C1061" s="170"/>
      <c r="D1061" s="170"/>
      <c r="E1061" s="170"/>
      <c r="F1061" s="170"/>
      <c r="G1061" s="170"/>
      <c r="H1061" s="170"/>
    </row>
    <row r="1062" spans="1:8">
      <c r="A1062" s="169"/>
      <c r="B1062" s="170"/>
      <c r="C1062" s="170"/>
      <c r="D1062" s="170"/>
      <c r="E1062" s="170"/>
      <c r="F1062" s="170"/>
      <c r="G1062" s="170"/>
      <c r="H1062" s="170"/>
    </row>
    <row r="1063" spans="1:8">
      <c r="A1063" s="169"/>
      <c r="B1063" s="170"/>
      <c r="C1063" s="170"/>
      <c r="D1063" s="170"/>
      <c r="E1063" s="170"/>
      <c r="F1063" s="170"/>
      <c r="G1063" s="170"/>
      <c r="H1063" s="170"/>
    </row>
    <row r="1064" spans="1:8">
      <c r="A1064" s="169"/>
      <c r="B1064" s="170"/>
      <c r="C1064" s="170"/>
      <c r="D1064" s="170"/>
      <c r="E1064" s="170"/>
      <c r="F1064" s="170"/>
      <c r="G1064" s="170"/>
      <c r="H1064" s="170"/>
    </row>
    <row r="1065" spans="1:8">
      <c r="A1065" s="169"/>
      <c r="B1065" s="170"/>
      <c r="C1065" s="170"/>
      <c r="D1065" s="170"/>
      <c r="E1065" s="170"/>
      <c r="F1065" s="170"/>
      <c r="G1065" s="170"/>
      <c r="H1065" s="170"/>
    </row>
    <row r="1066" spans="1:8">
      <c r="A1066" s="169"/>
      <c r="B1066" s="170"/>
      <c r="C1066" s="170"/>
      <c r="D1066" s="170"/>
      <c r="E1066" s="170"/>
      <c r="F1066" s="170"/>
      <c r="G1066" s="170"/>
      <c r="H1066" s="170"/>
    </row>
    <row r="1067" spans="1:8">
      <c r="A1067" s="169"/>
      <c r="B1067" s="170"/>
      <c r="C1067" s="170"/>
      <c r="D1067" s="170"/>
      <c r="E1067" s="170"/>
      <c r="F1067" s="170"/>
      <c r="G1067" s="170"/>
      <c r="H1067" s="170"/>
    </row>
    <row r="1068" spans="1:8">
      <c r="A1068" s="169"/>
      <c r="B1068" s="170"/>
      <c r="C1068" s="170"/>
      <c r="D1068" s="170"/>
      <c r="E1068" s="170"/>
      <c r="F1068" s="170"/>
      <c r="G1068" s="170"/>
      <c r="H1068" s="170"/>
    </row>
    <row r="1069" spans="1:8">
      <c r="A1069" s="169"/>
      <c r="B1069" s="170"/>
      <c r="C1069" s="170"/>
      <c r="D1069" s="170"/>
      <c r="E1069" s="170"/>
      <c r="F1069" s="170"/>
      <c r="G1069" s="170"/>
      <c r="H1069" s="170"/>
    </row>
    <row r="1070" spans="1:8">
      <c r="A1070" s="169"/>
      <c r="B1070" s="170"/>
      <c r="C1070" s="170"/>
      <c r="D1070" s="170"/>
      <c r="E1070" s="170"/>
      <c r="F1070" s="170"/>
      <c r="G1070" s="170"/>
      <c r="H1070" s="170"/>
    </row>
    <row r="1071" spans="1:8">
      <c r="A1071" s="169"/>
      <c r="B1071" s="170"/>
      <c r="C1071" s="170"/>
      <c r="D1071" s="170"/>
      <c r="E1071" s="170"/>
      <c r="F1071" s="170"/>
      <c r="G1071" s="170"/>
      <c r="H1071" s="170"/>
    </row>
    <row r="1072" spans="1:8">
      <c r="A1072" s="169"/>
      <c r="B1072" s="170"/>
      <c r="C1072" s="170"/>
      <c r="D1072" s="170"/>
      <c r="E1072" s="170"/>
      <c r="F1072" s="170"/>
      <c r="G1072" s="170"/>
      <c r="H1072" s="170"/>
    </row>
    <row r="1073" spans="1:8">
      <c r="A1073" s="169"/>
      <c r="B1073" s="170"/>
      <c r="C1073" s="170"/>
      <c r="D1073" s="170"/>
      <c r="E1073" s="170"/>
      <c r="F1073" s="170"/>
      <c r="G1073" s="170"/>
      <c r="H1073" s="170"/>
    </row>
    <row r="1074" spans="1:8">
      <c r="A1074" s="169"/>
      <c r="B1074" s="170"/>
      <c r="C1074" s="170"/>
      <c r="D1074" s="170"/>
      <c r="E1074" s="170"/>
      <c r="F1074" s="170"/>
      <c r="G1074" s="170"/>
      <c r="H1074" s="170"/>
    </row>
    <row r="1075" spans="1:8">
      <c r="A1075" s="169"/>
      <c r="B1075" s="170"/>
      <c r="C1075" s="170"/>
      <c r="D1075" s="170"/>
      <c r="E1075" s="170"/>
      <c r="F1075" s="170"/>
      <c r="G1075" s="170"/>
      <c r="H1075" s="170"/>
    </row>
    <row r="1076" spans="1:8">
      <c r="A1076" s="169"/>
      <c r="B1076" s="170"/>
      <c r="C1076" s="170"/>
      <c r="D1076" s="170"/>
      <c r="E1076" s="170"/>
      <c r="F1076" s="170"/>
      <c r="G1076" s="170"/>
      <c r="H1076" s="170"/>
    </row>
    <row r="1077" spans="1:8">
      <c r="A1077" s="169"/>
      <c r="B1077" s="170"/>
      <c r="C1077" s="170"/>
      <c r="D1077" s="170"/>
      <c r="E1077" s="170"/>
      <c r="F1077" s="170"/>
      <c r="G1077" s="170"/>
      <c r="H1077" s="170"/>
    </row>
    <row r="1078" spans="1:8">
      <c r="A1078" s="169"/>
      <c r="B1078" s="170"/>
      <c r="C1078" s="170"/>
      <c r="D1078" s="170"/>
      <c r="E1078" s="170"/>
      <c r="F1078" s="170"/>
      <c r="G1078" s="170"/>
      <c r="H1078" s="170"/>
    </row>
    <row r="1079" spans="1:8">
      <c r="A1079" s="169"/>
      <c r="B1079" s="170"/>
      <c r="C1079" s="170"/>
      <c r="D1079" s="170"/>
      <c r="E1079" s="170"/>
      <c r="F1079" s="170"/>
      <c r="G1079" s="170"/>
      <c r="H1079" s="170"/>
    </row>
    <row r="1080" spans="1:8">
      <c r="A1080" s="169"/>
      <c r="B1080" s="170"/>
      <c r="C1080" s="170"/>
      <c r="D1080" s="170"/>
      <c r="E1080" s="170"/>
      <c r="F1080" s="170"/>
      <c r="G1080" s="170"/>
      <c r="H1080" s="170"/>
    </row>
    <row r="1081" spans="1:8">
      <c r="A1081" s="169"/>
      <c r="B1081" s="170"/>
      <c r="C1081" s="170"/>
      <c r="D1081" s="170"/>
      <c r="E1081" s="170"/>
      <c r="F1081" s="170"/>
      <c r="G1081" s="170"/>
      <c r="H1081" s="170"/>
    </row>
    <row r="1082" spans="1:8">
      <c r="A1082" s="169"/>
      <c r="B1082" s="170"/>
      <c r="C1082" s="170"/>
      <c r="D1082" s="170"/>
      <c r="E1082" s="170"/>
      <c r="F1082" s="170"/>
      <c r="G1082" s="170"/>
      <c r="H1082" s="170"/>
    </row>
    <row r="1083" spans="1:8">
      <c r="A1083" s="169"/>
      <c r="B1083" s="170"/>
      <c r="C1083" s="170"/>
      <c r="D1083" s="170"/>
      <c r="E1083" s="170"/>
      <c r="F1083" s="170"/>
      <c r="G1083" s="170"/>
      <c r="H1083" s="170"/>
    </row>
    <row r="1084" spans="1:8">
      <c r="A1084" s="169"/>
      <c r="B1084" s="170"/>
      <c r="C1084" s="170"/>
      <c r="D1084" s="170"/>
      <c r="E1084" s="170"/>
      <c r="F1084" s="170"/>
      <c r="G1084" s="170"/>
      <c r="H1084" s="170"/>
    </row>
    <row r="1085" spans="1:8">
      <c r="A1085" s="169"/>
      <c r="B1085" s="170"/>
      <c r="C1085" s="170"/>
      <c r="D1085" s="170"/>
      <c r="E1085" s="170"/>
      <c r="F1085" s="170"/>
      <c r="G1085" s="170"/>
      <c r="H1085" s="170"/>
    </row>
    <row r="1086" spans="1:8">
      <c r="A1086" s="169"/>
      <c r="B1086" s="170"/>
      <c r="C1086" s="170"/>
      <c r="D1086" s="170"/>
      <c r="E1086" s="170"/>
      <c r="F1086" s="170"/>
      <c r="G1086" s="170"/>
      <c r="H1086" s="170"/>
    </row>
    <row r="1087" spans="1:8">
      <c r="A1087" s="169"/>
      <c r="B1087" s="170"/>
      <c r="C1087" s="170"/>
      <c r="D1087" s="170"/>
      <c r="E1087" s="170"/>
      <c r="F1087" s="170"/>
      <c r="G1087" s="170"/>
      <c r="H1087" s="170"/>
    </row>
    <row r="1088" spans="1:8">
      <c r="A1088" s="169"/>
      <c r="B1088" s="170"/>
      <c r="C1088" s="170"/>
      <c r="D1088" s="170"/>
      <c r="E1088" s="170"/>
      <c r="F1088" s="170"/>
      <c r="G1088" s="170"/>
      <c r="H1088" s="170"/>
    </row>
    <row r="1089" spans="1:8">
      <c r="A1089" s="169"/>
      <c r="B1089" s="170"/>
      <c r="C1089" s="170"/>
      <c r="D1089" s="170"/>
      <c r="E1089" s="170"/>
      <c r="F1089" s="170"/>
      <c r="G1089" s="170"/>
      <c r="H1089" s="170"/>
    </row>
    <row r="1090" spans="1:8">
      <c r="A1090" s="169"/>
      <c r="B1090" s="170"/>
      <c r="C1090" s="170"/>
      <c r="D1090" s="170"/>
      <c r="E1090" s="170"/>
      <c r="F1090" s="170"/>
      <c r="G1090" s="170"/>
      <c r="H1090" s="170"/>
    </row>
    <row r="1091" spans="1:8">
      <c r="A1091" s="169"/>
      <c r="B1091" s="170"/>
      <c r="C1091" s="170"/>
      <c r="D1091" s="170"/>
      <c r="E1091" s="170"/>
      <c r="F1091" s="170"/>
      <c r="G1091" s="170"/>
      <c r="H1091" s="170"/>
    </row>
    <row r="1092" spans="1:8">
      <c r="A1092" s="169"/>
      <c r="B1092" s="170"/>
      <c r="C1092" s="170"/>
      <c r="D1092" s="170"/>
      <c r="E1092" s="170"/>
      <c r="F1092" s="170"/>
      <c r="G1092" s="170"/>
      <c r="H1092" s="170"/>
    </row>
    <row r="1093" spans="1:8">
      <c r="A1093" s="169"/>
      <c r="B1093" s="170"/>
      <c r="C1093" s="170"/>
      <c r="D1093" s="170"/>
      <c r="E1093" s="170"/>
      <c r="F1093" s="170"/>
      <c r="G1093" s="170"/>
      <c r="H1093" s="170"/>
    </row>
    <row r="1094" spans="1:8">
      <c r="A1094" s="169"/>
      <c r="B1094" s="170"/>
      <c r="C1094" s="170"/>
      <c r="D1094" s="170"/>
      <c r="E1094" s="170"/>
      <c r="F1094" s="170"/>
      <c r="G1094" s="170"/>
      <c r="H1094" s="170"/>
    </row>
    <row r="1095" spans="1:8">
      <c r="A1095" s="169"/>
      <c r="B1095" s="170"/>
      <c r="C1095" s="170"/>
      <c r="D1095" s="170"/>
      <c r="E1095" s="170"/>
      <c r="F1095" s="170"/>
      <c r="G1095" s="170"/>
      <c r="H1095" s="170"/>
    </row>
    <row r="1096" spans="1:8">
      <c r="A1096" s="169"/>
      <c r="B1096" s="170"/>
      <c r="C1096" s="170"/>
      <c r="D1096" s="170"/>
      <c r="E1096" s="170"/>
      <c r="F1096" s="170"/>
      <c r="G1096" s="170"/>
      <c r="H1096" s="170"/>
    </row>
    <row r="1097" spans="1:8">
      <c r="A1097" s="169"/>
      <c r="B1097" s="170"/>
      <c r="C1097" s="170"/>
      <c r="D1097" s="170"/>
      <c r="E1097" s="170"/>
      <c r="F1097" s="170"/>
      <c r="G1097" s="170"/>
      <c r="H1097" s="170"/>
    </row>
    <row r="1098" spans="1:8">
      <c r="A1098" s="169"/>
      <c r="B1098" s="170"/>
      <c r="C1098" s="170"/>
      <c r="D1098" s="170"/>
      <c r="E1098" s="170"/>
      <c r="F1098" s="170"/>
      <c r="G1098" s="170"/>
      <c r="H1098" s="170"/>
    </row>
    <row r="1099" spans="1:8">
      <c r="A1099" s="169"/>
      <c r="B1099" s="170"/>
      <c r="C1099" s="170"/>
      <c r="D1099" s="170"/>
      <c r="E1099" s="170"/>
      <c r="F1099" s="170"/>
      <c r="G1099" s="170"/>
      <c r="H1099" s="170"/>
    </row>
    <row r="1100" spans="1:8">
      <c r="A1100" s="169"/>
      <c r="B1100" s="170"/>
      <c r="C1100" s="170"/>
      <c r="D1100" s="170"/>
      <c r="E1100" s="170"/>
      <c r="F1100" s="170"/>
      <c r="G1100" s="170"/>
      <c r="H1100" s="170"/>
    </row>
    <row r="1101" spans="1:8">
      <c r="A1101" s="169"/>
      <c r="B1101" s="170"/>
      <c r="C1101" s="170"/>
      <c r="D1101" s="170"/>
      <c r="E1101" s="170"/>
      <c r="F1101" s="170"/>
      <c r="G1101" s="170"/>
      <c r="H1101" s="170"/>
    </row>
    <row r="1102" spans="1:8">
      <c r="A1102" s="169"/>
      <c r="B1102" s="170"/>
      <c r="C1102" s="170"/>
      <c r="D1102" s="170"/>
      <c r="E1102" s="170"/>
      <c r="F1102" s="170"/>
      <c r="G1102" s="170"/>
      <c r="H1102" s="170"/>
    </row>
    <row r="1103" spans="1:8">
      <c r="A1103" s="169"/>
      <c r="B1103" s="170"/>
      <c r="C1103" s="170"/>
      <c r="D1103" s="170"/>
      <c r="E1103" s="170"/>
      <c r="F1103" s="170"/>
      <c r="G1103" s="170"/>
      <c r="H1103" s="170"/>
    </row>
    <row r="1104" spans="1:8">
      <c r="A1104" s="169"/>
      <c r="B1104" s="170"/>
      <c r="C1104" s="170"/>
      <c r="D1104" s="170"/>
      <c r="E1104" s="170"/>
      <c r="F1104" s="170"/>
      <c r="G1104" s="170"/>
      <c r="H1104" s="170"/>
    </row>
    <row r="1105" spans="1:8">
      <c r="A1105" s="169"/>
      <c r="B1105" s="170"/>
      <c r="C1105" s="170"/>
      <c r="D1105" s="170"/>
      <c r="E1105" s="170"/>
      <c r="F1105" s="170"/>
      <c r="G1105" s="170"/>
      <c r="H1105" s="170"/>
    </row>
    <row r="1106" spans="1:8">
      <c r="A1106" s="169"/>
      <c r="B1106" s="170"/>
      <c r="C1106" s="170"/>
      <c r="D1106" s="170"/>
      <c r="E1106" s="170"/>
      <c r="F1106" s="170"/>
      <c r="G1106" s="170"/>
      <c r="H1106" s="170"/>
    </row>
    <row r="1107" spans="1:8">
      <c r="A1107" s="169"/>
      <c r="B1107" s="170"/>
      <c r="C1107" s="170"/>
      <c r="D1107" s="170"/>
      <c r="E1107" s="170"/>
      <c r="F1107" s="170"/>
      <c r="G1107" s="170"/>
      <c r="H1107" s="170"/>
    </row>
    <row r="1108" spans="1:8">
      <c r="A1108" s="169"/>
      <c r="B1108" s="170"/>
      <c r="C1108" s="170"/>
      <c r="D1108" s="170"/>
      <c r="E1108" s="170"/>
      <c r="F1108" s="170"/>
      <c r="G1108" s="170"/>
      <c r="H1108" s="170"/>
    </row>
    <row r="1109" spans="1:8">
      <c r="A1109" s="169"/>
      <c r="B1109" s="170"/>
      <c r="C1109" s="170"/>
      <c r="D1109" s="170"/>
      <c r="E1109" s="170"/>
      <c r="F1109" s="170"/>
      <c r="G1109" s="170"/>
      <c r="H1109" s="170"/>
    </row>
    <row r="1110" spans="1:8">
      <c r="A1110" s="169"/>
      <c r="B1110" s="170"/>
      <c r="C1110" s="170"/>
      <c r="D1110" s="170"/>
      <c r="E1110" s="170"/>
      <c r="F1110" s="170"/>
      <c r="G1110" s="170"/>
      <c r="H1110" s="170"/>
    </row>
    <row r="1111" spans="1:8">
      <c r="A1111" s="169"/>
      <c r="B1111" s="170"/>
      <c r="C1111" s="170"/>
      <c r="D1111" s="170"/>
      <c r="E1111" s="170"/>
      <c r="F1111" s="170"/>
      <c r="G1111" s="170"/>
      <c r="H1111" s="170"/>
    </row>
    <row r="1112" spans="1:8">
      <c r="A1112" s="169"/>
      <c r="B1112" s="170"/>
      <c r="C1112" s="170"/>
      <c r="D1112" s="170"/>
      <c r="E1112" s="170"/>
      <c r="F1112" s="170"/>
      <c r="G1112" s="170"/>
      <c r="H1112" s="170"/>
    </row>
    <row r="1113" spans="1:8">
      <c r="A1113" s="169"/>
      <c r="B1113" s="170"/>
      <c r="C1113" s="170"/>
      <c r="D1113" s="170"/>
      <c r="E1113" s="170"/>
      <c r="F1113" s="170"/>
      <c r="G1113" s="170"/>
      <c r="H1113" s="170"/>
    </row>
    <row r="1114" spans="1:8">
      <c r="A1114" s="169"/>
      <c r="B1114" s="170"/>
      <c r="C1114" s="170"/>
      <c r="D1114" s="170"/>
      <c r="E1114" s="170"/>
      <c r="F1114" s="170"/>
      <c r="G1114" s="170"/>
      <c r="H1114" s="170"/>
    </row>
    <row r="1115" spans="1:8">
      <c r="A1115" s="169"/>
      <c r="B1115" s="170"/>
      <c r="C1115" s="170"/>
      <c r="D1115" s="170"/>
      <c r="E1115" s="170"/>
      <c r="F1115" s="170"/>
      <c r="G1115" s="170"/>
      <c r="H1115" s="170"/>
    </row>
    <row r="1116" spans="1:8">
      <c r="A1116" s="169"/>
      <c r="B1116" s="170"/>
      <c r="C1116" s="170"/>
      <c r="D1116" s="170"/>
      <c r="E1116" s="170"/>
      <c r="F1116" s="170"/>
      <c r="G1116" s="170"/>
      <c r="H1116" s="170"/>
    </row>
    <row r="1117" spans="1:8">
      <c r="A1117" s="169"/>
      <c r="B1117" s="170"/>
      <c r="C1117" s="170"/>
      <c r="D1117" s="170"/>
      <c r="E1117" s="170"/>
      <c r="F1117" s="170"/>
      <c r="G1117" s="170"/>
      <c r="H1117" s="170"/>
    </row>
    <row r="1118" spans="1:8">
      <c r="A1118" s="169"/>
      <c r="B1118" s="170"/>
      <c r="C1118" s="170"/>
      <c r="D1118" s="170"/>
      <c r="E1118" s="170"/>
      <c r="F1118" s="170"/>
      <c r="G1118" s="170"/>
      <c r="H1118" s="170"/>
    </row>
    <row r="1119" spans="1:8">
      <c r="A1119" s="169"/>
      <c r="B1119" s="170"/>
      <c r="C1119" s="170"/>
      <c r="D1119" s="170"/>
      <c r="E1119" s="170"/>
      <c r="F1119" s="170"/>
      <c r="G1119" s="170"/>
      <c r="H1119" s="170"/>
    </row>
    <row r="1120" spans="1:8">
      <c r="A1120" s="169"/>
      <c r="B1120" s="170"/>
      <c r="C1120" s="170"/>
      <c r="D1120" s="170"/>
      <c r="E1120" s="170"/>
      <c r="F1120" s="170"/>
      <c r="G1120" s="170"/>
      <c r="H1120" s="170"/>
    </row>
    <row r="1121" spans="1:8">
      <c r="A1121" s="169"/>
      <c r="B1121" s="170"/>
      <c r="C1121" s="170"/>
      <c r="D1121" s="170"/>
      <c r="E1121" s="170"/>
      <c r="F1121" s="170"/>
      <c r="G1121" s="170"/>
      <c r="H1121" s="170"/>
    </row>
    <row r="1122" spans="1:8">
      <c r="A1122" s="169"/>
      <c r="B1122" s="170"/>
      <c r="C1122" s="170"/>
      <c r="D1122" s="170"/>
      <c r="E1122" s="170"/>
      <c r="F1122" s="170"/>
      <c r="G1122" s="170"/>
      <c r="H1122" s="170"/>
    </row>
    <row r="1123" spans="1:8">
      <c r="A1123" s="169"/>
      <c r="B1123" s="170"/>
      <c r="C1123" s="170"/>
      <c r="D1123" s="170"/>
      <c r="E1123" s="170"/>
      <c r="F1123" s="170"/>
      <c r="G1123" s="170"/>
      <c r="H1123" s="170"/>
    </row>
    <row r="1124" spans="1:8">
      <c r="A1124" s="169"/>
      <c r="B1124" s="170"/>
      <c r="C1124" s="170"/>
      <c r="D1124" s="170"/>
      <c r="E1124" s="170"/>
      <c r="F1124" s="170"/>
      <c r="G1124" s="170"/>
      <c r="H1124" s="170"/>
    </row>
    <row r="1125" spans="1:8">
      <c r="A1125" s="169"/>
      <c r="B1125" s="170"/>
      <c r="C1125" s="170"/>
      <c r="D1125" s="170"/>
      <c r="E1125" s="170"/>
      <c r="F1125" s="170"/>
      <c r="G1125" s="170"/>
      <c r="H1125" s="170"/>
    </row>
    <row r="1126" spans="1:8">
      <c r="A1126" s="169"/>
      <c r="B1126" s="170"/>
      <c r="C1126" s="170"/>
      <c r="D1126" s="170"/>
      <c r="E1126" s="170"/>
      <c r="F1126" s="170"/>
      <c r="G1126" s="170"/>
      <c r="H1126" s="170"/>
    </row>
    <row r="1127" spans="1:8">
      <c r="A1127" s="169"/>
      <c r="B1127" s="170"/>
      <c r="C1127" s="170"/>
      <c r="D1127" s="170"/>
      <c r="E1127" s="170"/>
      <c r="F1127" s="170"/>
      <c r="G1127" s="170"/>
      <c r="H1127" s="170"/>
    </row>
    <row r="1128" spans="1:8">
      <c r="A1128" s="169"/>
      <c r="B1128" s="170"/>
      <c r="C1128" s="170"/>
      <c r="D1128" s="170"/>
      <c r="E1128" s="170"/>
      <c r="F1128" s="170"/>
      <c r="G1128" s="170"/>
      <c r="H1128" s="170"/>
    </row>
    <row r="1129" spans="1:8">
      <c r="A1129" s="169"/>
      <c r="B1129" s="170"/>
      <c r="C1129" s="170"/>
      <c r="D1129" s="170"/>
      <c r="E1129" s="170"/>
      <c r="F1129" s="170"/>
      <c r="G1129" s="170"/>
      <c r="H1129" s="170"/>
    </row>
    <row r="1130" spans="1:8">
      <c r="A1130" s="169"/>
      <c r="B1130" s="170"/>
      <c r="C1130" s="170"/>
      <c r="D1130" s="170"/>
      <c r="E1130" s="170"/>
      <c r="F1130" s="170"/>
      <c r="G1130" s="170"/>
      <c r="H1130" s="170"/>
    </row>
    <row r="1131" spans="1:8">
      <c r="A1131" s="169"/>
      <c r="B1131" s="170"/>
      <c r="C1131" s="170"/>
      <c r="D1131" s="170"/>
      <c r="E1131" s="170"/>
      <c r="F1131" s="170"/>
      <c r="G1131" s="170"/>
      <c r="H1131" s="170"/>
    </row>
    <row r="1132" spans="1:8">
      <c r="A1132" s="169"/>
      <c r="B1132" s="170"/>
      <c r="C1132" s="170"/>
      <c r="D1132" s="170"/>
      <c r="E1132" s="170"/>
      <c r="F1132" s="170"/>
      <c r="G1132" s="170"/>
      <c r="H1132" s="170"/>
    </row>
    <row r="1133" spans="1:8">
      <c r="A1133" s="169"/>
      <c r="B1133" s="170"/>
      <c r="C1133" s="170"/>
      <c r="D1133" s="170"/>
      <c r="E1133" s="170"/>
      <c r="F1133" s="170"/>
      <c r="G1133" s="170"/>
      <c r="H1133" s="170"/>
    </row>
    <row r="1134" spans="1:8">
      <c r="A1134" s="169"/>
      <c r="B1134" s="170"/>
      <c r="C1134" s="170"/>
      <c r="D1134" s="170"/>
      <c r="E1134" s="170"/>
      <c r="F1134" s="170"/>
      <c r="G1134" s="170"/>
      <c r="H1134" s="170"/>
    </row>
    <row r="1135" spans="1:8">
      <c r="A1135" s="169"/>
      <c r="B1135" s="170"/>
      <c r="C1135" s="170"/>
      <c r="D1135" s="170"/>
      <c r="E1135" s="170"/>
      <c r="F1135" s="170"/>
      <c r="G1135" s="170"/>
      <c r="H1135" s="170"/>
    </row>
    <row r="1136" spans="1:8">
      <c r="A1136" s="169"/>
      <c r="B1136" s="170"/>
      <c r="C1136" s="170"/>
      <c r="D1136" s="170"/>
      <c r="E1136" s="170"/>
      <c r="F1136" s="170"/>
      <c r="G1136" s="170"/>
      <c r="H1136" s="170"/>
    </row>
    <row r="1137" spans="1:8">
      <c r="A1137" s="169"/>
      <c r="B1137" s="170"/>
      <c r="C1137" s="170"/>
      <c r="D1137" s="170"/>
      <c r="E1137" s="170"/>
      <c r="F1137" s="170"/>
      <c r="G1137" s="170"/>
      <c r="H1137" s="170"/>
    </row>
    <row r="1138" spans="1:8">
      <c r="A1138" s="169"/>
      <c r="B1138" s="170"/>
      <c r="C1138" s="170"/>
      <c r="D1138" s="170"/>
      <c r="E1138" s="170"/>
      <c r="F1138" s="170"/>
      <c r="G1138" s="170"/>
      <c r="H1138" s="170"/>
    </row>
    <row r="1139" spans="1:8">
      <c r="A1139" s="169"/>
      <c r="B1139" s="170"/>
      <c r="C1139" s="170"/>
      <c r="D1139" s="170"/>
      <c r="E1139" s="170"/>
      <c r="F1139" s="170"/>
      <c r="G1139" s="170"/>
      <c r="H1139" s="170"/>
    </row>
    <row r="1140" spans="1:8">
      <c r="A1140" s="169"/>
      <c r="B1140" s="170"/>
      <c r="C1140" s="170"/>
      <c r="D1140" s="170"/>
      <c r="E1140" s="170"/>
      <c r="F1140" s="170"/>
      <c r="G1140" s="170"/>
      <c r="H1140" s="170"/>
    </row>
    <row r="1141" spans="1:8">
      <c r="A1141" s="169"/>
      <c r="B1141" s="170"/>
      <c r="C1141" s="170"/>
      <c r="D1141" s="170"/>
      <c r="E1141" s="170"/>
      <c r="F1141" s="170"/>
      <c r="G1141" s="170"/>
      <c r="H1141" s="170"/>
    </row>
    <row r="1142" spans="1:8">
      <c r="A1142" s="169"/>
      <c r="B1142" s="170"/>
      <c r="C1142" s="170"/>
      <c r="D1142" s="170"/>
      <c r="E1142" s="170"/>
      <c r="F1142" s="170"/>
      <c r="G1142" s="170"/>
      <c r="H1142" s="170"/>
    </row>
    <row r="1143" spans="1:8">
      <c r="A1143" s="169"/>
      <c r="B1143" s="170"/>
      <c r="C1143" s="170"/>
      <c r="D1143" s="170"/>
      <c r="E1143" s="170"/>
      <c r="F1143" s="170"/>
      <c r="G1143" s="170"/>
      <c r="H1143" s="170"/>
    </row>
    <row r="1144" spans="1:8">
      <c r="A1144" s="169"/>
      <c r="B1144" s="170"/>
      <c r="C1144" s="170"/>
      <c r="D1144" s="170"/>
      <c r="E1144" s="170"/>
      <c r="F1144" s="170"/>
      <c r="G1144" s="170"/>
      <c r="H1144" s="170"/>
    </row>
    <row r="1145" spans="1:8">
      <c r="A1145" s="169"/>
      <c r="B1145" s="170"/>
      <c r="C1145" s="170"/>
      <c r="D1145" s="170"/>
      <c r="E1145" s="170"/>
      <c r="F1145" s="170"/>
      <c r="G1145" s="170"/>
      <c r="H1145" s="170"/>
    </row>
    <row r="1146" spans="1:8">
      <c r="A1146" s="169"/>
      <c r="B1146" s="170"/>
      <c r="C1146" s="170"/>
      <c r="D1146" s="170"/>
      <c r="E1146" s="170"/>
      <c r="F1146" s="170"/>
      <c r="G1146" s="170"/>
      <c r="H1146" s="170"/>
    </row>
    <row r="1147" spans="1:8">
      <c r="A1147" s="169"/>
      <c r="B1147" s="170"/>
      <c r="C1147" s="170"/>
      <c r="D1147" s="170"/>
      <c r="E1147" s="170"/>
      <c r="F1147" s="170"/>
      <c r="G1147" s="170"/>
      <c r="H1147" s="170"/>
    </row>
    <row r="1148" spans="1:8">
      <c r="A1148" s="169"/>
      <c r="B1148" s="170"/>
      <c r="C1148" s="170"/>
      <c r="D1148" s="170"/>
      <c r="E1148" s="170"/>
      <c r="F1148" s="170"/>
      <c r="G1148" s="170"/>
      <c r="H1148" s="170"/>
    </row>
    <row r="1149" spans="1:8">
      <c r="A1149" s="169"/>
      <c r="B1149" s="170"/>
      <c r="C1149" s="170"/>
      <c r="D1149" s="170"/>
      <c r="E1149" s="170"/>
      <c r="F1149" s="170"/>
      <c r="G1149" s="170"/>
      <c r="H1149" s="170"/>
    </row>
    <row r="1150" spans="1:8">
      <c r="A1150" s="169"/>
      <c r="B1150" s="170"/>
      <c r="C1150" s="170"/>
      <c r="D1150" s="170"/>
      <c r="E1150" s="170"/>
      <c r="F1150" s="170"/>
      <c r="G1150" s="170"/>
      <c r="H1150" s="170"/>
    </row>
    <row r="1151" spans="1:8">
      <c r="A1151" s="169"/>
      <c r="B1151" s="170"/>
      <c r="C1151" s="170"/>
      <c r="D1151" s="170"/>
      <c r="E1151" s="170"/>
      <c r="F1151" s="170"/>
      <c r="G1151" s="170"/>
      <c r="H1151" s="170"/>
    </row>
    <row r="1152" spans="1:8">
      <c r="A1152" s="169"/>
      <c r="B1152" s="170"/>
      <c r="C1152" s="170"/>
      <c r="D1152" s="170"/>
      <c r="E1152" s="170"/>
      <c r="F1152" s="170"/>
      <c r="G1152" s="170"/>
      <c r="H1152" s="170"/>
    </row>
    <row r="1153" spans="1:8">
      <c r="A1153" s="169"/>
      <c r="B1153" s="170"/>
      <c r="C1153" s="170"/>
      <c r="D1153" s="170"/>
      <c r="E1153" s="170"/>
      <c r="F1153" s="170"/>
      <c r="G1153" s="170"/>
      <c r="H1153" s="170"/>
    </row>
    <row r="1154" spans="1:8">
      <c r="A1154" s="169"/>
      <c r="B1154" s="170"/>
      <c r="C1154" s="170"/>
      <c r="D1154" s="170"/>
      <c r="E1154" s="170"/>
      <c r="F1154" s="170"/>
      <c r="G1154" s="170"/>
      <c r="H1154" s="170"/>
    </row>
    <row r="1155" spans="1:8">
      <c r="A1155" s="169"/>
      <c r="B1155" s="170"/>
      <c r="C1155" s="170"/>
      <c r="D1155" s="170"/>
      <c r="E1155" s="170"/>
      <c r="F1155" s="170"/>
      <c r="G1155" s="170"/>
      <c r="H1155" s="170"/>
    </row>
    <row r="1156" spans="1:8">
      <c r="A1156" s="169"/>
      <c r="B1156" s="170"/>
      <c r="C1156" s="170"/>
      <c r="D1156" s="170"/>
      <c r="E1156" s="170"/>
      <c r="F1156" s="170"/>
      <c r="G1156" s="170"/>
      <c r="H1156" s="170"/>
    </row>
    <row r="1157" spans="1:8">
      <c r="A1157" s="169"/>
      <c r="B1157" s="170"/>
      <c r="C1157" s="170"/>
      <c r="D1157" s="170"/>
      <c r="E1157" s="170"/>
      <c r="F1157" s="170"/>
      <c r="G1157" s="170"/>
      <c r="H1157" s="170"/>
    </row>
    <row r="1158" spans="1:8">
      <c r="A1158" s="169"/>
      <c r="B1158" s="170"/>
      <c r="C1158" s="170"/>
      <c r="D1158" s="170"/>
      <c r="E1158" s="170"/>
      <c r="F1158" s="170"/>
      <c r="G1158" s="170"/>
      <c r="H1158" s="170"/>
    </row>
    <row r="1159" spans="1:8">
      <c r="A1159" s="169"/>
      <c r="B1159" s="170"/>
      <c r="C1159" s="170"/>
      <c r="D1159" s="170"/>
      <c r="E1159" s="170"/>
      <c r="F1159" s="170"/>
      <c r="G1159" s="170"/>
      <c r="H1159" s="170"/>
    </row>
    <row r="1160" spans="1:8">
      <c r="A1160" s="169"/>
      <c r="B1160" s="170"/>
      <c r="C1160" s="170"/>
      <c r="D1160" s="170"/>
      <c r="E1160" s="170"/>
      <c r="F1160" s="170"/>
      <c r="G1160" s="170"/>
      <c r="H1160" s="170"/>
    </row>
  </sheetData>
  <mergeCells count="1">
    <mergeCell ref="C1:H1"/>
  </mergeCells>
  <conditionalFormatting sqref="C16:G375">
    <cfRule type="expression" dxfId="6" priority="5" stopIfTrue="1">
      <formula>NOT(Loan_Not_Paid)</formula>
    </cfRule>
    <cfRule type="expression" dxfId="5" priority="6" stopIfTrue="1">
      <formula>IF(ROW(C16)=Last_Row,TRUE,FALSE)</formula>
    </cfRule>
  </conditionalFormatting>
  <conditionalFormatting sqref="B16:B375">
    <cfRule type="expression" dxfId="4" priority="3" stopIfTrue="1">
      <formula>NOT(Loan_Not_Paid)</formula>
    </cfRule>
    <cfRule type="expression" dxfId="3" priority="4" stopIfTrue="1">
      <formula>IF(ROW(B16)=Last_Row,TRUE,FALSE)</formula>
    </cfRule>
  </conditionalFormatting>
  <conditionalFormatting sqref="H16:H375">
    <cfRule type="expression" dxfId="2" priority="1" stopIfTrue="1">
      <formula>NOT(Loan_Not_Paid)</formula>
    </cfRule>
    <cfRule type="expression" dxfId="1" priority="2" stopIfTrue="1">
      <formula>IF(ROW(H16)=Last_Row,TRUE,FALSE)</formula>
    </cfRule>
  </conditionalFormatting>
  <hyperlinks>
    <hyperlink ref="G3:H3" location="'Simulazione 8.0'!A1" display="Torna alla pagina dei calcoli"/>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R270"/>
  <sheetViews>
    <sheetView topLeftCell="A20" zoomScaleNormal="100" workbookViewId="0">
      <selection activeCell="M51" sqref="M51"/>
    </sheetView>
  </sheetViews>
  <sheetFormatPr defaultRowHeight="15"/>
  <cols>
    <col min="1" max="5" width="9.140625" style="6" customWidth="1"/>
    <col min="6" max="6" width="6.140625" style="6" customWidth="1"/>
    <col min="7" max="19" width="13.28515625" style="6" customWidth="1"/>
    <col min="20" max="20" width="13.28515625" style="61" customWidth="1"/>
    <col min="21" max="22" width="13.28515625" style="6" customWidth="1"/>
    <col min="23" max="23" width="13.28515625" style="417" customWidth="1"/>
    <col min="24" max="25" width="13.28515625" style="6" customWidth="1"/>
    <col min="26" max="27" width="9.140625" style="6"/>
    <col min="28" max="29" width="9.7109375" style="6" bestFit="1" customWidth="1"/>
    <col min="30" max="16384" width="9.140625" style="6"/>
  </cols>
  <sheetData>
    <row r="1" spans="1:30" s="1" customFormat="1" ht="18.75">
      <c r="A1" s="6">
        <v>-100</v>
      </c>
      <c r="B1" s="6">
        <f>IF($E$1=C1,1,0)</f>
        <v>0</v>
      </c>
      <c r="C1" s="6">
        <v>1</v>
      </c>
      <c r="D1" s="6">
        <f>IF(B1=1,A1,0)</f>
        <v>0</v>
      </c>
      <c r="E1" s="6">
        <v>139</v>
      </c>
      <c r="F1" s="6"/>
      <c r="G1" s="521">
        <v>3</v>
      </c>
      <c r="H1" s="2" t="s">
        <v>98</v>
      </c>
      <c r="I1" s="3"/>
      <c r="K1" s="2" t="s">
        <v>17</v>
      </c>
      <c r="L1" s="2"/>
      <c r="M1" s="2"/>
      <c r="N1" s="2">
        <v>2</v>
      </c>
      <c r="O1" s="2">
        <v>3</v>
      </c>
      <c r="P1" s="4">
        <f>'Simulazione 10.1'!C4</f>
        <v>499</v>
      </c>
      <c r="Q1" s="2"/>
      <c r="R1" s="2"/>
      <c r="S1" s="2" t="b">
        <f>AND($N$1=1,$O$1=1,$P$1&lt;=20)</f>
        <v>0</v>
      </c>
      <c r="T1" s="5">
        <v>0</v>
      </c>
      <c r="U1" s="2">
        <f>IF(S1=TRUE,T1,0)</f>
        <v>0</v>
      </c>
      <c r="W1" s="421"/>
    </row>
    <row r="2" spans="1:30">
      <c r="A2" s="6">
        <f>A1+1</f>
        <v>-99</v>
      </c>
      <c r="B2" s="6">
        <f t="shared" ref="B2:B65" si="0">IF($E$1=C2,1,0)</f>
        <v>0</v>
      </c>
      <c r="C2" s="6">
        <v>2</v>
      </c>
      <c r="D2" s="6">
        <f t="shared" ref="D2:D65" si="1">IF(B2=1,A2,0)</f>
        <v>0</v>
      </c>
      <c r="E2" s="6">
        <f>0-E1</f>
        <v>-139</v>
      </c>
      <c r="G2" s="522"/>
      <c r="H2" s="2" t="s">
        <v>99</v>
      </c>
      <c r="I2" s="7"/>
      <c r="K2" s="2" t="s">
        <v>16</v>
      </c>
      <c r="L2" s="2"/>
      <c r="M2" s="2"/>
      <c r="N2" s="2"/>
      <c r="S2" s="2" t="b">
        <f>AND($N$1=1,$O$1=2,$P$1&lt;=20)</f>
        <v>0</v>
      </c>
      <c r="T2" s="5">
        <v>30</v>
      </c>
      <c r="U2" s="2">
        <f>IF(S2=TRUE,T2,0)</f>
        <v>0</v>
      </c>
      <c r="X2" s="517">
        <v>2</v>
      </c>
      <c r="Y2" s="517"/>
      <c r="Z2" s="517"/>
      <c r="AA2" s="517"/>
      <c r="AB2" s="517"/>
      <c r="AC2" s="517"/>
      <c r="AD2" s="517"/>
    </row>
    <row r="3" spans="1:30">
      <c r="A3" s="6">
        <f t="shared" ref="A3:A66" si="2">A2+1</f>
        <v>-98</v>
      </c>
      <c r="B3" s="6">
        <f t="shared" si="0"/>
        <v>0</v>
      </c>
      <c r="C3" s="6">
        <v>3</v>
      </c>
      <c r="D3" s="6">
        <f t="shared" si="1"/>
        <v>0</v>
      </c>
      <c r="G3" s="522"/>
      <c r="H3" s="2" t="s">
        <v>100</v>
      </c>
      <c r="I3" s="7"/>
      <c r="K3" s="2" t="s">
        <v>15</v>
      </c>
      <c r="L3" s="2"/>
      <c r="M3" s="2"/>
      <c r="N3" s="2"/>
      <c r="S3" s="2" t="b">
        <f>AND($N$1=1,$O$1=3,$P$1&lt;=20)</f>
        <v>0</v>
      </c>
      <c r="T3" s="5">
        <v>20</v>
      </c>
      <c r="U3" s="2">
        <f t="shared" ref="U3" si="3">IF(S3=TRUE,T3,0)</f>
        <v>0</v>
      </c>
      <c r="V3" s="6" t="b">
        <f>AND($O$1&gt;2,$K$9&gt;2,$N$1=1)</f>
        <v>0</v>
      </c>
      <c r="W3" s="417">
        <f>IF(V3=TRUE,T3,0)</f>
        <v>0</v>
      </c>
      <c r="X3" s="517" t="s">
        <v>197</v>
      </c>
      <c r="Y3" s="517"/>
      <c r="Z3" s="517"/>
      <c r="AA3" s="517"/>
      <c r="AB3" s="517"/>
      <c r="AC3" s="517"/>
      <c r="AD3" s="517"/>
    </row>
    <row r="4" spans="1:30">
      <c r="A4" s="6">
        <f t="shared" si="2"/>
        <v>-97</v>
      </c>
      <c r="B4" s="6">
        <f t="shared" si="0"/>
        <v>0</v>
      </c>
      <c r="C4" s="6">
        <v>4</v>
      </c>
      <c r="D4" s="6">
        <f t="shared" si="1"/>
        <v>0</v>
      </c>
      <c r="G4" s="522"/>
      <c r="H4" s="2" t="s">
        <v>101</v>
      </c>
      <c r="I4" s="7"/>
      <c r="K4" s="2"/>
      <c r="L4" s="2"/>
      <c r="M4" s="2"/>
      <c r="N4" s="2"/>
      <c r="S4" s="2" t="b">
        <f>AND($N$1=1,$O$1=4,$P$1&lt;=20)</f>
        <v>0</v>
      </c>
      <c r="T4" s="18">
        <v>50</v>
      </c>
      <c r="U4" s="2">
        <f t="shared" ref="U4:U19" si="4">IF(S4=TRUE,T4,0)</f>
        <v>0</v>
      </c>
      <c r="X4" s="517" t="s">
        <v>91</v>
      </c>
      <c r="Y4" s="517"/>
      <c r="Z4" s="517"/>
      <c r="AA4" s="517"/>
      <c r="AB4" s="517"/>
      <c r="AC4" s="517"/>
      <c r="AD4" s="517"/>
    </row>
    <row r="5" spans="1:30">
      <c r="A5" s="6">
        <f t="shared" si="2"/>
        <v>-96</v>
      </c>
      <c r="B5" s="6">
        <f t="shared" si="0"/>
        <v>0</v>
      </c>
      <c r="C5" s="6">
        <v>5</v>
      </c>
      <c r="D5" s="6">
        <f t="shared" si="1"/>
        <v>0</v>
      </c>
      <c r="G5" s="522"/>
      <c r="H5" s="2" t="s">
        <v>102</v>
      </c>
      <c r="I5" s="7"/>
      <c r="K5" s="17"/>
      <c r="S5" s="2" t="b">
        <f>AND($N$1=2,$O$1=1,$P$1&lt;=20)</f>
        <v>0</v>
      </c>
      <c r="T5" s="5">
        <v>0</v>
      </c>
      <c r="U5" s="2">
        <f t="shared" si="4"/>
        <v>0</v>
      </c>
      <c r="X5" s="517"/>
      <c r="Y5" s="517"/>
      <c r="Z5" s="517"/>
      <c r="AA5" s="517"/>
      <c r="AB5" s="517"/>
      <c r="AC5" s="517"/>
      <c r="AD5" s="517"/>
    </row>
    <row r="6" spans="1:30" ht="15.75" thickBot="1">
      <c r="A6" s="6">
        <f t="shared" si="2"/>
        <v>-95</v>
      </c>
      <c r="B6" s="6">
        <f t="shared" si="0"/>
        <v>0</v>
      </c>
      <c r="C6" s="6">
        <v>6</v>
      </c>
      <c r="D6" s="6">
        <f t="shared" si="1"/>
        <v>0</v>
      </c>
      <c r="H6" s="17" t="s">
        <v>144</v>
      </c>
      <c r="K6" s="17"/>
      <c r="S6" s="2" t="b">
        <f>AND($N$1=2,$O$1=2,$P$1&lt;=20)</f>
        <v>0</v>
      </c>
      <c r="T6" s="18">
        <v>20</v>
      </c>
      <c r="U6" s="2">
        <f t="shared" si="4"/>
        <v>0</v>
      </c>
      <c r="X6" s="517">
        <f>IF(X2=1,20,0)</f>
        <v>0</v>
      </c>
      <c r="Y6" s="517"/>
      <c r="Z6" s="517"/>
      <c r="AA6" s="517"/>
      <c r="AB6" s="517"/>
      <c r="AC6" s="517"/>
      <c r="AD6" s="517"/>
    </row>
    <row r="7" spans="1:30">
      <c r="A7" s="6">
        <f t="shared" si="2"/>
        <v>-94</v>
      </c>
      <c r="B7" s="6">
        <f t="shared" si="0"/>
        <v>0</v>
      </c>
      <c r="C7" s="6">
        <v>7</v>
      </c>
      <c r="D7" s="6">
        <f t="shared" si="1"/>
        <v>0</v>
      </c>
      <c r="G7" s="521">
        <v>1</v>
      </c>
      <c r="H7" s="15" t="s">
        <v>0</v>
      </c>
      <c r="I7" s="16"/>
      <c r="K7" s="23"/>
      <c r="L7" s="15" t="s">
        <v>265</v>
      </c>
      <c r="M7" s="15"/>
      <c r="N7" s="15"/>
      <c r="O7" s="16"/>
      <c r="S7" s="2" t="b">
        <f>AND($N$1=2,$O$1=3,$P$1&lt;=20)</f>
        <v>0</v>
      </c>
      <c r="T7" s="18">
        <v>10</v>
      </c>
      <c r="U7" s="2">
        <f t="shared" si="4"/>
        <v>0</v>
      </c>
      <c r="V7" s="6" t="b">
        <f>AND($O$1&gt;2,$K$9&gt;2,$N$1=2)</f>
        <v>0</v>
      </c>
      <c r="W7" s="417">
        <f>IF(V7=TRUE,T7,0)</f>
        <v>0</v>
      </c>
      <c r="X7" s="459"/>
      <c r="Y7" s="459"/>
      <c r="Z7" s="459"/>
      <c r="AA7" s="459"/>
      <c r="AB7" s="459"/>
      <c r="AC7" s="459"/>
      <c r="AD7" s="459"/>
    </row>
    <row r="8" spans="1:30" ht="15.75" thickBot="1">
      <c r="A8" s="6">
        <f t="shared" si="2"/>
        <v>-93</v>
      </c>
      <c r="B8" s="6">
        <f t="shared" si="0"/>
        <v>0</v>
      </c>
      <c r="C8" s="6">
        <v>8</v>
      </c>
      <c r="D8" s="6">
        <f t="shared" si="1"/>
        <v>0</v>
      </c>
      <c r="G8" s="523"/>
      <c r="H8" s="19" t="s">
        <v>1</v>
      </c>
      <c r="I8" s="20"/>
      <c r="K8" s="22"/>
      <c r="L8" s="2" t="s">
        <v>264</v>
      </c>
      <c r="M8" s="2"/>
      <c r="N8" s="2"/>
      <c r="O8" s="7"/>
      <c r="S8" s="2" t="b">
        <f>AND($N$1=2,$O$1=4,$P$1&lt;=20)</f>
        <v>0</v>
      </c>
      <c r="T8" s="18">
        <v>30</v>
      </c>
      <c r="U8" s="2">
        <f t="shared" si="4"/>
        <v>0</v>
      </c>
      <c r="X8" s="459"/>
      <c r="Y8" s="459"/>
      <c r="Z8" s="459"/>
      <c r="AA8" s="459"/>
      <c r="AB8" s="459"/>
      <c r="AC8" s="459"/>
      <c r="AD8" s="459"/>
    </row>
    <row r="9" spans="1:30">
      <c r="A9" s="6">
        <f t="shared" si="2"/>
        <v>-92</v>
      </c>
      <c r="B9" s="6">
        <f t="shared" si="0"/>
        <v>0</v>
      </c>
      <c r="C9" s="6">
        <v>9</v>
      </c>
      <c r="D9" s="6">
        <f t="shared" si="1"/>
        <v>0</v>
      </c>
      <c r="K9" s="22">
        <v>1</v>
      </c>
      <c r="L9" s="2" t="s">
        <v>112</v>
      </c>
      <c r="M9" s="2"/>
      <c r="N9" s="2"/>
      <c r="O9" s="7"/>
      <c r="S9" s="2" t="b">
        <f>AND($N$1=3,$O$1=1,$P$1&lt;=20)</f>
        <v>0</v>
      </c>
      <c r="T9" s="5">
        <v>0</v>
      </c>
      <c r="U9" s="2">
        <f t="shared" si="4"/>
        <v>0</v>
      </c>
      <c r="X9" s="459"/>
      <c r="Y9" s="459"/>
      <c r="Z9" s="459"/>
      <c r="AA9" s="459"/>
      <c r="AB9" s="459"/>
      <c r="AC9" s="459"/>
      <c r="AD9" s="459"/>
    </row>
    <row r="10" spans="1:30" ht="15.75" thickBot="1">
      <c r="A10" s="6">
        <f t="shared" si="2"/>
        <v>-91</v>
      </c>
      <c r="B10" s="6">
        <f t="shared" si="0"/>
        <v>0</v>
      </c>
      <c r="C10" s="6">
        <v>10</v>
      </c>
      <c r="D10" s="6">
        <f t="shared" si="1"/>
        <v>0</v>
      </c>
      <c r="I10" s="21"/>
      <c r="J10" s="21"/>
      <c r="K10" s="411"/>
      <c r="L10" s="412" t="s">
        <v>1</v>
      </c>
      <c r="M10" s="413"/>
      <c r="N10" s="413"/>
      <c r="O10" s="414"/>
      <c r="P10" s="21"/>
      <c r="Q10" s="21"/>
      <c r="R10" s="21"/>
      <c r="S10" s="2" t="b">
        <f>AND($N$1=3,$O$1=2,$P$1&lt;=20)</f>
        <v>0</v>
      </c>
      <c r="T10" s="18">
        <v>10</v>
      </c>
      <c r="U10" s="2">
        <f t="shared" si="4"/>
        <v>0</v>
      </c>
      <c r="X10" s="459"/>
      <c r="Y10" s="459"/>
      <c r="Z10" s="459"/>
      <c r="AA10" s="459"/>
      <c r="AB10" s="459"/>
      <c r="AC10" s="459"/>
      <c r="AD10" s="459"/>
    </row>
    <row r="11" spans="1:30">
      <c r="A11" s="6">
        <f t="shared" si="2"/>
        <v>-90</v>
      </c>
      <c r="B11" s="6">
        <f t="shared" si="0"/>
        <v>0</v>
      </c>
      <c r="C11" s="6">
        <v>11</v>
      </c>
      <c r="D11" s="6">
        <f t="shared" si="1"/>
        <v>0</v>
      </c>
      <c r="G11" s="23"/>
      <c r="H11" s="15"/>
      <c r="I11" s="518" t="s">
        <v>4</v>
      </c>
      <c r="J11" s="519"/>
      <c r="K11" s="61"/>
      <c r="L11" s="61"/>
      <c r="M11" s="410"/>
      <c r="N11" s="2"/>
      <c r="O11" s="520" t="s">
        <v>5</v>
      </c>
      <c r="P11" s="519"/>
      <c r="Q11" s="2"/>
      <c r="R11" s="2"/>
      <c r="S11" s="2" t="b">
        <f>AND($N$1=3,$O$1=3,$P$1&lt;=20)</f>
        <v>0</v>
      </c>
      <c r="T11" s="18">
        <v>5</v>
      </c>
      <c r="U11" s="2">
        <f t="shared" si="4"/>
        <v>0</v>
      </c>
      <c r="V11" s="6" t="b">
        <f>AND($O$1&gt;2,$K$9&gt;2,$N$1=3)</f>
        <v>0</v>
      </c>
      <c r="W11" s="417">
        <f>IF(V11=TRUE,T11,0)</f>
        <v>0</v>
      </c>
      <c r="X11" s="459"/>
      <c r="Y11" s="459"/>
      <c r="Z11" s="459"/>
      <c r="AA11" s="459"/>
      <c r="AB11" s="459"/>
      <c r="AC11" s="459"/>
      <c r="AD11" s="459"/>
    </row>
    <row r="12" spans="1:30">
      <c r="A12" s="6">
        <f t="shared" si="2"/>
        <v>-89</v>
      </c>
      <c r="B12" s="6">
        <f t="shared" si="0"/>
        <v>0</v>
      </c>
      <c r="C12" s="6">
        <v>12</v>
      </c>
      <c r="D12" s="6">
        <f t="shared" si="1"/>
        <v>0</v>
      </c>
      <c r="G12" s="22"/>
      <c r="H12" s="2"/>
      <c r="I12" s="5" t="s">
        <v>2</v>
      </c>
      <c r="J12" s="26" t="s">
        <v>3</v>
      </c>
      <c r="K12" s="61"/>
      <c r="L12" s="61"/>
      <c r="M12" s="60"/>
      <c r="N12" s="2"/>
      <c r="O12" s="5" t="s">
        <v>2</v>
      </c>
      <c r="P12" s="26" t="s">
        <v>3</v>
      </c>
      <c r="Q12" s="27"/>
      <c r="R12" s="27"/>
      <c r="S12" s="2" t="b">
        <f>AND($N$1=3,$O$1=4,$P$1&lt;=20)</f>
        <v>0</v>
      </c>
      <c r="T12" s="18">
        <v>15</v>
      </c>
      <c r="U12" s="2">
        <f t="shared" si="4"/>
        <v>0</v>
      </c>
      <c r="X12" s="459"/>
      <c r="Y12" s="459"/>
      <c r="Z12" s="459"/>
      <c r="AA12" s="459"/>
      <c r="AB12" s="459"/>
      <c r="AC12" s="459"/>
      <c r="AD12" s="459"/>
    </row>
    <row r="13" spans="1:30">
      <c r="A13" s="6">
        <f t="shared" si="2"/>
        <v>-88</v>
      </c>
      <c r="B13" s="6">
        <f t="shared" si="0"/>
        <v>0</v>
      </c>
      <c r="C13" s="6">
        <v>13</v>
      </c>
      <c r="D13" s="6">
        <f t="shared" si="1"/>
        <v>0</v>
      </c>
      <c r="G13" s="22" t="b">
        <f>AND($G$1=1,$K$9=1,'Simulazione 10.1'!$C$4&lt;=3,'Simulazione 10.1'!$C$4&gt;=1)</f>
        <v>0</v>
      </c>
      <c r="H13" s="28" t="s">
        <v>6</v>
      </c>
      <c r="I13" s="5">
        <v>208</v>
      </c>
      <c r="J13" s="26">
        <f t="shared" ref="J13:J18" si="5">I13-82</f>
        <v>126</v>
      </c>
      <c r="K13" s="61">
        <f t="shared" ref="K13:K18" si="6">IF(G13=TRUE,I13,0)</f>
        <v>0</v>
      </c>
      <c r="L13" s="61">
        <f t="shared" ref="L13:L18" si="7">IF(G13=TRUE,J13,0)</f>
        <v>0</v>
      </c>
      <c r="M13" s="22" t="b">
        <f>AND($G$1=1,$K$9=4,'Simulazione 10.1'!$C$4&lt;=3,'Simulazione 10.1'!$C$4&gt;=1)</f>
        <v>0</v>
      </c>
      <c r="N13" s="28" t="s">
        <v>6</v>
      </c>
      <c r="O13" s="5">
        <v>201</v>
      </c>
      <c r="P13" s="26">
        <f t="shared" ref="P13:P18" si="8">O13-82</f>
        <v>119</v>
      </c>
      <c r="Q13" s="5">
        <f>IF(M13=TRUE,O13,0)</f>
        <v>0</v>
      </c>
      <c r="R13" s="5">
        <f>IF(M13=TRUE,P13,0)</f>
        <v>0</v>
      </c>
      <c r="S13" s="2" t="b">
        <f>AND($N$1=1,$O$1=1,$P$1&gt;20)</f>
        <v>0</v>
      </c>
      <c r="T13" s="61">
        <v>0</v>
      </c>
      <c r="U13" s="2">
        <f t="shared" si="4"/>
        <v>0</v>
      </c>
      <c r="X13" s="459"/>
      <c r="Y13" s="459"/>
      <c r="Z13" s="459"/>
      <c r="AA13" s="459"/>
      <c r="AB13" s="459"/>
      <c r="AC13" s="459"/>
      <c r="AD13" s="459"/>
    </row>
    <row r="14" spans="1:30">
      <c r="A14" s="6">
        <f t="shared" si="2"/>
        <v>-87</v>
      </c>
      <c r="B14" s="6">
        <f t="shared" si="0"/>
        <v>0</v>
      </c>
      <c r="C14" s="6">
        <v>14</v>
      </c>
      <c r="D14" s="6">
        <f t="shared" si="1"/>
        <v>0</v>
      </c>
      <c r="G14" s="22" t="b">
        <f>AND($G$1=1,$K$9=1,'Simulazione 10.1'!$C$4&lt;=20,'Simulazione 10.1'!$C$4&gt;3)</f>
        <v>0</v>
      </c>
      <c r="H14" s="28" t="s">
        <v>7</v>
      </c>
      <c r="I14" s="5">
        <v>196</v>
      </c>
      <c r="J14" s="26">
        <f t="shared" si="5"/>
        <v>114</v>
      </c>
      <c r="K14" s="61">
        <f t="shared" si="6"/>
        <v>0</v>
      </c>
      <c r="L14" s="61">
        <f t="shared" si="7"/>
        <v>0</v>
      </c>
      <c r="M14" s="22" t="b">
        <f>AND($G$1=1,$K$9=4,'Simulazione 10.1'!$C$4&lt;=20,'Simulazione 10.1'!$C$4&gt;3)</f>
        <v>0</v>
      </c>
      <c r="N14" s="28" t="s">
        <v>7</v>
      </c>
      <c r="O14" s="5">
        <v>189</v>
      </c>
      <c r="P14" s="26">
        <f t="shared" si="8"/>
        <v>107</v>
      </c>
      <c r="Q14" s="5">
        <f t="shared" ref="Q14:Q18" si="9">IF(M14=TRUE,O14,0)</f>
        <v>0</v>
      </c>
      <c r="R14" s="5">
        <f t="shared" ref="R14:R18" si="10">IF(M14=TRUE,P14,0)</f>
        <v>0</v>
      </c>
      <c r="S14" s="2" t="b">
        <f>AND($N$1=1,$O$1=2,$P$1&gt;20)</f>
        <v>0</v>
      </c>
      <c r="T14" s="61">
        <v>20</v>
      </c>
      <c r="U14" s="2">
        <f t="shared" si="4"/>
        <v>0</v>
      </c>
      <c r="X14" s="459"/>
      <c r="Y14" s="459"/>
      <c r="Z14" s="459"/>
      <c r="AA14" s="459"/>
      <c r="AB14" s="459"/>
      <c r="AC14" s="459"/>
      <c r="AD14" s="459"/>
    </row>
    <row r="15" spans="1:30" ht="22.5" customHeight="1">
      <c r="A15" s="6">
        <f t="shared" si="2"/>
        <v>-86</v>
      </c>
      <c r="B15" s="6">
        <f t="shared" si="0"/>
        <v>0</v>
      </c>
      <c r="C15" s="6">
        <v>15</v>
      </c>
      <c r="D15" s="6">
        <f t="shared" si="1"/>
        <v>0</v>
      </c>
      <c r="G15" s="22" t="b">
        <f>AND($G$1=1,$K$9=1,'Simulazione 10.1'!$C$4&lt;=200,'Simulazione 10.1'!$C$4&gt;20)</f>
        <v>0</v>
      </c>
      <c r="H15" s="28" t="s">
        <v>8</v>
      </c>
      <c r="I15" s="5">
        <v>175</v>
      </c>
      <c r="J15" s="26">
        <f t="shared" si="5"/>
        <v>93</v>
      </c>
      <c r="K15" s="61">
        <f t="shared" si="6"/>
        <v>0</v>
      </c>
      <c r="L15" s="61">
        <f t="shared" si="7"/>
        <v>0</v>
      </c>
      <c r="M15" s="22" t="b">
        <f>AND($G$1=1,$K$9=4,'Simulazione 10.1'!$C$4&lt;=200,'Simulazione 10.1'!$C$4&gt;20)</f>
        <v>0</v>
      </c>
      <c r="N15" s="28" t="s">
        <v>8</v>
      </c>
      <c r="O15" s="5">
        <v>168</v>
      </c>
      <c r="P15" s="26">
        <f t="shared" si="8"/>
        <v>86</v>
      </c>
      <c r="Q15" s="5">
        <f t="shared" si="9"/>
        <v>0</v>
      </c>
      <c r="R15" s="5">
        <f t="shared" si="10"/>
        <v>0</v>
      </c>
      <c r="S15" s="2" t="b">
        <f>AND($N$1=1,$O$1=3,$P$1&gt;20)</f>
        <v>0</v>
      </c>
      <c r="T15" s="61">
        <v>20</v>
      </c>
      <c r="U15" s="2">
        <f t="shared" si="4"/>
        <v>0</v>
      </c>
      <c r="X15" s="459"/>
      <c r="Y15" s="459"/>
      <c r="Z15" s="459"/>
      <c r="AA15" s="459"/>
      <c r="AB15" s="459"/>
      <c r="AC15" s="459"/>
      <c r="AD15" s="459"/>
    </row>
    <row r="16" spans="1:30" ht="13.5" customHeight="1">
      <c r="A16" s="6">
        <f t="shared" si="2"/>
        <v>-85</v>
      </c>
      <c r="B16" s="6">
        <f t="shared" si="0"/>
        <v>0</v>
      </c>
      <c r="C16" s="6">
        <v>16</v>
      </c>
      <c r="D16" s="6">
        <f t="shared" si="1"/>
        <v>0</v>
      </c>
      <c r="G16" s="22" t="b">
        <f>AND($G$1=1,$K$9=1,'Simulazione 10.1'!$C$4&lt;=1000,'Simulazione 10.1'!$C$4&gt;200)</f>
        <v>0</v>
      </c>
      <c r="H16" s="28" t="s">
        <v>9</v>
      </c>
      <c r="I16" s="5">
        <v>142</v>
      </c>
      <c r="J16" s="26">
        <f t="shared" si="5"/>
        <v>60</v>
      </c>
      <c r="K16" s="61">
        <f t="shared" si="6"/>
        <v>0</v>
      </c>
      <c r="L16" s="61">
        <f t="shared" si="7"/>
        <v>0</v>
      </c>
      <c r="M16" s="22" t="b">
        <f>AND($G$1=1,$K$9=4,'Simulazione 10.1'!$C$4&lt;=1000,'Simulazione 10.1'!$C$4&gt;200)</f>
        <v>0</v>
      </c>
      <c r="N16" s="28" t="s">
        <v>9</v>
      </c>
      <c r="O16" s="5">
        <v>135</v>
      </c>
      <c r="P16" s="26">
        <f t="shared" si="8"/>
        <v>53</v>
      </c>
      <c r="Q16" s="5">
        <f t="shared" si="9"/>
        <v>0</v>
      </c>
      <c r="R16" s="5">
        <f t="shared" si="10"/>
        <v>0</v>
      </c>
      <c r="S16" s="2" t="b">
        <f>AND($N$1=1,$O$1=4,$P$1&gt;20)</f>
        <v>0</v>
      </c>
      <c r="T16" s="61">
        <v>40</v>
      </c>
      <c r="U16" s="2">
        <f t="shared" si="4"/>
        <v>0</v>
      </c>
      <c r="Y16" s="440">
        <v>0.05</v>
      </c>
      <c r="Z16" s="441">
        <v>1</v>
      </c>
      <c r="AA16" s="441">
        <f>IF($Z$38=Z16,Y16*100,0)</f>
        <v>0</v>
      </c>
    </row>
    <row r="17" spans="1:27">
      <c r="A17" s="6">
        <f t="shared" si="2"/>
        <v>-84</v>
      </c>
      <c r="B17" s="6">
        <f t="shared" si="0"/>
        <v>0</v>
      </c>
      <c r="C17" s="6">
        <v>17</v>
      </c>
      <c r="D17" s="6">
        <f t="shared" si="1"/>
        <v>0</v>
      </c>
      <c r="G17" s="22" t="b">
        <f>AND($G$1=1,$K$9=1,'Simulazione 10.1'!$C$4&lt;=5000,'Simulazione 10.1'!$C$4&gt;1000)</f>
        <v>0</v>
      </c>
      <c r="H17" s="28" t="s">
        <v>10</v>
      </c>
      <c r="I17" s="5">
        <v>126</v>
      </c>
      <c r="J17" s="26">
        <f t="shared" si="5"/>
        <v>44</v>
      </c>
      <c r="K17" s="61">
        <f t="shared" si="6"/>
        <v>0</v>
      </c>
      <c r="L17" s="61">
        <f t="shared" si="7"/>
        <v>0</v>
      </c>
      <c r="M17" s="22" t="b">
        <f>AND($G$1=1,$K$9=4,'Simulazione 10.1'!$C$4&lt;=5000,'Simulazione 10.1'!$C$4&gt;1000)</f>
        <v>0</v>
      </c>
      <c r="N17" s="28" t="s">
        <v>10</v>
      </c>
      <c r="O17" s="5">
        <v>120</v>
      </c>
      <c r="P17" s="26">
        <f t="shared" si="8"/>
        <v>38</v>
      </c>
      <c r="Q17" s="5">
        <f t="shared" si="9"/>
        <v>0</v>
      </c>
      <c r="R17" s="5">
        <f t="shared" si="10"/>
        <v>0</v>
      </c>
      <c r="S17" s="2" t="b">
        <f>AND($N$1=2,$O$1=1,$P$1&gt;20)</f>
        <v>0</v>
      </c>
      <c r="T17" s="61">
        <v>0</v>
      </c>
      <c r="U17" s="2">
        <f t="shared" si="4"/>
        <v>0</v>
      </c>
      <c r="Y17" s="440">
        <v>0.1</v>
      </c>
      <c r="Z17" s="441">
        <v>2</v>
      </c>
      <c r="AA17" s="441">
        <f t="shared" ref="AA17:AA37" si="11">IF($Z$38=Z17,Y17*100,0)</f>
        <v>0</v>
      </c>
    </row>
    <row r="18" spans="1:27" ht="15.75" thickBot="1">
      <c r="A18" s="6">
        <f t="shared" si="2"/>
        <v>-83</v>
      </c>
      <c r="B18" s="6">
        <f t="shared" si="0"/>
        <v>0</v>
      </c>
      <c r="C18" s="6">
        <v>18</v>
      </c>
      <c r="D18" s="6">
        <f t="shared" si="1"/>
        <v>0</v>
      </c>
      <c r="G18" s="29" t="b">
        <f>AND($G$1=1,$K$9=1,'Simulazione 10.1'!$C$4&gt;=5000)</f>
        <v>0</v>
      </c>
      <c r="H18" s="30" t="s">
        <v>11</v>
      </c>
      <c r="I18" s="31">
        <v>119</v>
      </c>
      <c r="J18" s="32">
        <f t="shared" si="5"/>
        <v>37</v>
      </c>
      <c r="K18" s="61">
        <f t="shared" si="6"/>
        <v>0</v>
      </c>
      <c r="L18" s="61">
        <f t="shared" si="7"/>
        <v>0</v>
      </c>
      <c r="M18" s="29" t="b">
        <f>AND($G$1=1,$K$9=4,'Simulazione 10.1'!$C$4&gt;=5000)</f>
        <v>0</v>
      </c>
      <c r="N18" s="30" t="s">
        <v>11</v>
      </c>
      <c r="O18" s="31">
        <v>113</v>
      </c>
      <c r="P18" s="32">
        <f t="shared" si="8"/>
        <v>31</v>
      </c>
      <c r="Q18" s="5">
        <f t="shared" si="9"/>
        <v>0</v>
      </c>
      <c r="R18" s="5">
        <f t="shared" si="10"/>
        <v>0</v>
      </c>
      <c r="S18" s="2" t="b">
        <f>AND($N$1=2,$O$1=2,$P$1&gt;20)</f>
        <v>0</v>
      </c>
      <c r="T18" s="61">
        <v>10</v>
      </c>
      <c r="U18" s="2">
        <f t="shared" si="4"/>
        <v>0</v>
      </c>
      <c r="Y18" s="440">
        <v>0.15</v>
      </c>
      <c r="Z18" s="441">
        <v>3</v>
      </c>
      <c r="AA18" s="441">
        <f t="shared" si="11"/>
        <v>0</v>
      </c>
    </row>
    <row r="19" spans="1:27" ht="15.75" thickBot="1">
      <c r="A19" s="6">
        <f t="shared" si="2"/>
        <v>-82</v>
      </c>
      <c r="B19" s="6">
        <f t="shared" si="0"/>
        <v>0</v>
      </c>
      <c r="C19" s="6">
        <v>19</v>
      </c>
      <c r="D19" s="6">
        <f t="shared" si="1"/>
        <v>0</v>
      </c>
      <c r="I19" s="61"/>
      <c r="J19" s="61"/>
      <c r="K19" s="33">
        <f>IF($K$9=1,K13+K14+K15+K16+K17+K18,0)</f>
        <v>0</v>
      </c>
      <c r="L19" s="33">
        <f>IF($K$9=1,L13+L14+L15+L16+L17+L18,0)</f>
        <v>0</v>
      </c>
      <c r="N19" s="61"/>
      <c r="O19" s="61"/>
      <c r="P19" s="61"/>
      <c r="Q19" s="33">
        <f>IF($K$9=4,Q13+Q14+Q15+Q16+Q17+Q18,0)</f>
        <v>0</v>
      </c>
      <c r="R19" s="33">
        <f>IF($K$9=4,R13+R14+R15+R16+R17+R18,0)</f>
        <v>0</v>
      </c>
      <c r="S19" s="2" t="b">
        <f>AND($N$1=2,$O$1=3,$P$1&gt;20)</f>
        <v>1</v>
      </c>
      <c r="T19" s="61">
        <v>10</v>
      </c>
      <c r="U19" s="2">
        <f t="shared" si="4"/>
        <v>10</v>
      </c>
      <c r="Y19" s="440">
        <v>0.2</v>
      </c>
      <c r="Z19" s="441">
        <v>4</v>
      </c>
      <c r="AA19" s="441">
        <f t="shared" si="11"/>
        <v>0</v>
      </c>
    </row>
    <row r="20" spans="1:27" ht="24" customHeight="1">
      <c r="A20" s="6">
        <f t="shared" si="2"/>
        <v>-81</v>
      </c>
      <c r="B20" s="6">
        <f t="shared" si="0"/>
        <v>0</v>
      </c>
      <c r="C20" s="6">
        <v>20</v>
      </c>
      <c r="D20" s="6">
        <f t="shared" si="1"/>
        <v>0</v>
      </c>
      <c r="I20" s="61"/>
      <c r="J20" s="61"/>
      <c r="K20" s="5"/>
      <c r="L20" s="5"/>
      <c r="N20" s="61"/>
      <c r="O20" s="61"/>
      <c r="P20" s="61"/>
      <c r="Q20" s="5"/>
      <c r="R20" s="5"/>
      <c r="S20" s="2" t="b">
        <f>AND($N$1=2,$O$1=4,$P$1&gt;20)</f>
        <v>0</v>
      </c>
      <c r="T20" s="68">
        <v>20</v>
      </c>
      <c r="U20" s="2">
        <f t="shared" ref="U20" si="12">IF(S20=TRUE,T20,0)</f>
        <v>0</v>
      </c>
      <c r="Y20" s="440">
        <v>0.25</v>
      </c>
      <c r="Z20" s="441">
        <v>5</v>
      </c>
      <c r="AA20" s="441">
        <f t="shared" si="11"/>
        <v>0</v>
      </c>
    </row>
    <row r="21" spans="1:27" ht="12.75" customHeight="1" thickBot="1">
      <c r="A21" s="6">
        <f t="shared" si="2"/>
        <v>-80</v>
      </c>
      <c r="B21" s="6">
        <f t="shared" si="0"/>
        <v>0</v>
      </c>
      <c r="C21" s="6">
        <v>21</v>
      </c>
      <c r="D21" s="6">
        <f t="shared" si="1"/>
        <v>0</v>
      </c>
      <c r="I21" s="459"/>
      <c r="J21" s="459"/>
      <c r="K21" s="61"/>
      <c r="L21" s="61"/>
      <c r="N21" s="61"/>
      <c r="O21" s="459"/>
      <c r="P21" s="459"/>
      <c r="Q21" s="61"/>
      <c r="R21" s="61"/>
      <c r="S21" s="2" t="b">
        <f>AND($N$1=3,$O$1=1,$P$1&gt;20)</f>
        <v>0</v>
      </c>
      <c r="T21" s="40">
        <v>0</v>
      </c>
      <c r="U21" s="37">
        <f t="shared" ref="U21:U24" si="13">IF(S21=TRUE,T21,0)</f>
        <v>0</v>
      </c>
      <c r="Y21" s="440">
        <v>0.3</v>
      </c>
      <c r="Z21" s="441">
        <v>6</v>
      </c>
      <c r="AA21" s="441">
        <f t="shared" si="11"/>
        <v>0</v>
      </c>
    </row>
    <row r="22" spans="1:27" s="37" customFormat="1" ht="22.5" customHeight="1">
      <c r="A22" s="6">
        <f t="shared" si="2"/>
        <v>-79</v>
      </c>
      <c r="B22" s="6">
        <f t="shared" si="0"/>
        <v>0</v>
      </c>
      <c r="C22" s="6">
        <v>22</v>
      </c>
      <c r="D22" s="6">
        <f t="shared" si="1"/>
        <v>0</v>
      </c>
      <c r="G22" s="62"/>
      <c r="H22" s="63"/>
      <c r="I22" s="64" t="s">
        <v>2</v>
      </c>
      <c r="J22" s="65" t="s">
        <v>3</v>
      </c>
      <c r="K22" s="40"/>
      <c r="L22" s="40"/>
      <c r="M22" s="62"/>
      <c r="N22" s="63"/>
      <c r="O22" s="64" t="s">
        <v>2</v>
      </c>
      <c r="P22" s="65" t="s">
        <v>3</v>
      </c>
      <c r="Q22" s="38"/>
      <c r="R22" s="38"/>
      <c r="S22" s="2" t="b">
        <f>AND($N$1=3,$O$1=2,$P$1&gt;20)</f>
        <v>0</v>
      </c>
      <c r="T22" s="44">
        <v>5</v>
      </c>
      <c r="U22" s="11">
        <f t="shared" si="13"/>
        <v>0</v>
      </c>
      <c r="W22" s="40"/>
      <c r="Y22" s="442">
        <v>0.35</v>
      </c>
      <c r="Z22" s="443">
        <v>7</v>
      </c>
      <c r="AA22" s="441">
        <f t="shared" si="11"/>
        <v>0</v>
      </c>
    </row>
    <row r="23" spans="1:27" s="41" customFormat="1" ht="15.75">
      <c r="A23" s="6">
        <f t="shared" si="2"/>
        <v>-78</v>
      </c>
      <c r="B23" s="6">
        <f t="shared" si="0"/>
        <v>0</v>
      </c>
      <c r="C23" s="6">
        <v>23</v>
      </c>
      <c r="D23" s="6">
        <f t="shared" si="1"/>
        <v>0</v>
      </c>
      <c r="G23" s="22" t="b">
        <f>AND($G$1=2,$K$9=1,'Simulazione 10.1'!$C$4&lt;=3,'Simulazione 10.1'!$C$4&gt;=1)</f>
        <v>0</v>
      </c>
      <c r="H23" s="28" t="s">
        <v>6</v>
      </c>
      <c r="I23" s="42">
        <v>182</v>
      </c>
      <c r="J23" s="43">
        <f t="shared" ref="J23:J28" si="14">I23-82</f>
        <v>100</v>
      </c>
      <c r="K23" s="61">
        <f t="shared" ref="K23:K28" si="15">IF(G23=TRUE,I23,0)</f>
        <v>0</v>
      </c>
      <c r="L23" s="61">
        <f t="shared" ref="L23:L28" si="16">IF(G23=TRUE,J23,0)</f>
        <v>0</v>
      </c>
      <c r="M23" s="22" t="b">
        <f>AND($G$1=2,$K$9=4,'Simulazione 10.1'!$C$4&lt;=3,'Simulazione 10.1'!$C$4&gt;=1)</f>
        <v>0</v>
      </c>
      <c r="N23" s="28" t="s">
        <v>6</v>
      </c>
      <c r="O23" s="42">
        <v>176</v>
      </c>
      <c r="P23" s="43">
        <f t="shared" ref="P23:P28" si="17">O23-82</f>
        <v>94</v>
      </c>
      <c r="Q23" s="5">
        <f>IF(M23=TRUE,O23,0)</f>
        <v>0</v>
      </c>
      <c r="R23" s="5">
        <f>IF(M23=TRUE,P23,0)</f>
        <v>0</v>
      </c>
      <c r="S23" s="2" t="b">
        <f>AND($N$1=3,$O$1=3,$P$1&gt;20)</f>
        <v>0</v>
      </c>
      <c r="T23" s="44">
        <v>5</v>
      </c>
      <c r="U23" s="11">
        <f t="shared" si="13"/>
        <v>0</v>
      </c>
      <c r="V23" s="6"/>
      <c r="W23" s="417"/>
      <c r="Y23" s="444">
        <v>0.4</v>
      </c>
      <c r="Z23" s="445">
        <v>8</v>
      </c>
      <c r="AA23" s="441">
        <f t="shared" si="11"/>
        <v>0</v>
      </c>
    </row>
    <row r="24" spans="1:27" s="41" customFormat="1" ht="15.75">
      <c r="A24" s="6">
        <f t="shared" si="2"/>
        <v>-77</v>
      </c>
      <c r="B24" s="6">
        <f t="shared" si="0"/>
        <v>0</v>
      </c>
      <c r="C24" s="6">
        <v>24</v>
      </c>
      <c r="D24" s="6">
        <f t="shared" si="1"/>
        <v>0</v>
      </c>
      <c r="G24" s="22" t="b">
        <f>AND($G$1=2,$K$9=1,'Simulazione 10.1'!$C$4&lt;=20,'Simulazione 10.1'!$C$4&gt;3)</f>
        <v>0</v>
      </c>
      <c r="H24" s="28" t="s">
        <v>7</v>
      </c>
      <c r="I24" s="42">
        <v>171</v>
      </c>
      <c r="J24" s="43">
        <f t="shared" si="14"/>
        <v>89</v>
      </c>
      <c r="K24" s="61">
        <f t="shared" si="15"/>
        <v>0</v>
      </c>
      <c r="L24" s="61">
        <f t="shared" si="16"/>
        <v>0</v>
      </c>
      <c r="M24" s="22" t="b">
        <f>AND($G$1=2,$K$9=4,'Simulazione 10.1'!$C$4&lt;=20,'Simulazione 10.1'!$C$4&gt;3)</f>
        <v>0</v>
      </c>
      <c r="N24" s="28" t="s">
        <v>7</v>
      </c>
      <c r="O24" s="42">
        <v>165</v>
      </c>
      <c r="P24" s="43">
        <f t="shared" si="17"/>
        <v>83</v>
      </c>
      <c r="Q24" s="5">
        <f t="shared" ref="Q24:Q28" si="18">IF(M24=TRUE,O24,0)</f>
        <v>0</v>
      </c>
      <c r="R24" s="5">
        <f t="shared" ref="R24:R28" si="19">IF(M24=TRUE,P24,0)</f>
        <v>0</v>
      </c>
      <c r="S24" s="2" t="b">
        <f>AND($N$1=3,$O$1=4,$P$1&gt;20)</f>
        <v>0</v>
      </c>
      <c r="T24" s="44">
        <v>10</v>
      </c>
      <c r="U24" s="11">
        <f t="shared" si="13"/>
        <v>0</v>
      </c>
      <c r="W24" s="44"/>
      <c r="Y24" s="444">
        <v>0.45</v>
      </c>
      <c r="Z24" s="445">
        <v>9</v>
      </c>
      <c r="AA24" s="441">
        <f t="shared" si="11"/>
        <v>0</v>
      </c>
    </row>
    <row r="25" spans="1:27" s="41" customFormat="1" ht="15.75">
      <c r="A25" s="6">
        <f t="shared" si="2"/>
        <v>-76</v>
      </c>
      <c r="B25" s="6">
        <f t="shared" si="0"/>
        <v>0</v>
      </c>
      <c r="C25" s="6">
        <v>25</v>
      </c>
      <c r="D25" s="6">
        <f t="shared" si="1"/>
        <v>0</v>
      </c>
      <c r="G25" s="22" t="b">
        <f>AND($G$1=2,$K$9=1,'Simulazione 10.1'!$C$4&lt;=200,'Simulazione 10.1'!$C$4&gt;20)</f>
        <v>0</v>
      </c>
      <c r="H25" s="28" t="s">
        <v>8</v>
      </c>
      <c r="I25" s="42">
        <v>157</v>
      </c>
      <c r="J25" s="43">
        <f t="shared" si="14"/>
        <v>75</v>
      </c>
      <c r="K25" s="61">
        <f t="shared" si="15"/>
        <v>0</v>
      </c>
      <c r="L25" s="61">
        <f t="shared" si="16"/>
        <v>0</v>
      </c>
      <c r="M25" s="22" t="b">
        <f>AND($G$1=2,$K$9=4,'Simulazione 10.1'!$C$4&lt;=200,'Simulazione 10.1'!$C$4&gt;20)</f>
        <v>0</v>
      </c>
      <c r="N25" s="28" t="s">
        <v>8</v>
      </c>
      <c r="O25" s="42">
        <v>151</v>
      </c>
      <c r="P25" s="43">
        <f t="shared" si="17"/>
        <v>69</v>
      </c>
      <c r="Q25" s="5">
        <f t="shared" si="18"/>
        <v>0</v>
      </c>
      <c r="R25" s="5">
        <f t="shared" si="19"/>
        <v>0</v>
      </c>
      <c r="S25" s="11"/>
      <c r="T25" s="44"/>
      <c r="U25" s="11"/>
      <c r="W25" s="44"/>
      <c r="Y25" s="444">
        <v>0.5</v>
      </c>
      <c r="Z25" s="445">
        <v>10</v>
      </c>
      <c r="AA25" s="441">
        <f t="shared" si="11"/>
        <v>0</v>
      </c>
    </row>
    <row r="26" spans="1:27" s="37" customFormat="1" ht="22.5" customHeight="1">
      <c r="A26" s="6">
        <f t="shared" si="2"/>
        <v>-75</v>
      </c>
      <c r="B26" s="6">
        <f t="shared" si="0"/>
        <v>0</v>
      </c>
      <c r="C26" s="6">
        <v>26</v>
      </c>
      <c r="D26" s="6">
        <f t="shared" si="1"/>
        <v>0</v>
      </c>
      <c r="G26" s="22" t="b">
        <f>AND($G$1=2,$K$9=1,'Simulazione 10.1'!$C$4&lt;=1000,'Simulazione 10.1'!$C$4&gt;200)</f>
        <v>0</v>
      </c>
      <c r="H26" s="28" t="s">
        <v>9</v>
      </c>
      <c r="I26" s="38">
        <v>130</v>
      </c>
      <c r="J26" s="39">
        <f t="shared" si="14"/>
        <v>48</v>
      </c>
      <c r="K26" s="61">
        <f t="shared" si="15"/>
        <v>0</v>
      </c>
      <c r="L26" s="61">
        <f t="shared" si="16"/>
        <v>0</v>
      </c>
      <c r="M26" s="22" t="b">
        <f>AND($G$1=2,$K$9=4,'Simulazione 10.1'!$C$4&lt;=1000,'Simulazione 10.1'!$C$4&gt;200)</f>
        <v>0</v>
      </c>
      <c r="N26" s="28" t="s">
        <v>9</v>
      </c>
      <c r="O26" s="38">
        <v>124</v>
      </c>
      <c r="P26" s="39">
        <f t="shared" si="17"/>
        <v>42</v>
      </c>
      <c r="Q26" s="5">
        <f t="shared" si="18"/>
        <v>0</v>
      </c>
      <c r="R26" s="5">
        <f t="shared" si="19"/>
        <v>0</v>
      </c>
      <c r="T26" s="40"/>
      <c r="W26" s="40"/>
      <c r="Y26" s="442">
        <v>0.55000000000000004</v>
      </c>
      <c r="Z26" s="443">
        <v>11</v>
      </c>
      <c r="AA26" s="441">
        <f t="shared" si="11"/>
        <v>0</v>
      </c>
    </row>
    <row r="27" spans="1:27" s="41" customFormat="1" ht="15.75">
      <c r="A27" s="6">
        <f t="shared" si="2"/>
        <v>-74</v>
      </c>
      <c r="B27" s="6">
        <f t="shared" si="0"/>
        <v>0</v>
      </c>
      <c r="C27" s="6">
        <v>27</v>
      </c>
      <c r="D27" s="6">
        <f t="shared" si="1"/>
        <v>0</v>
      </c>
      <c r="G27" s="22" t="b">
        <f>AND($G$1=2,$K$9=1,'Simulazione 10.1'!$C$4&lt;=5000,'Simulazione 10.1'!$C$4&gt;1000)</f>
        <v>0</v>
      </c>
      <c r="H27" s="28" t="s">
        <v>10</v>
      </c>
      <c r="I27" s="42">
        <v>118</v>
      </c>
      <c r="J27" s="43">
        <f t="shared" si="14"/>
        <v>36</v>
      </c>
      <c r="K27" s="61">
        <f t="shared" si="15"/>
        <v>0</v>
      </c>
      <c r="L27" s="61">
        <f t="shared" si="16"/>
        <v>0</v>
      </c>
      <c r="M27" s="22" t="b">
        <f>AND($G$1=2,$K$9=4,'Simulazione 10.1'!$C$4&lt;=5000,'Simulazione 10.1'!$C$4&gt;1000)</f>
        <v>0</v>
      </c>
      <c r="N27" s="28" t="s">
        <v>10</v>
      </c>
      <c r="O27" s="42">
        <v>113</v>
      </c>
      <c r="P27" s="43">
        <f t="shared" si="17"/>
        <v>31</v>
      </c>
      <c r="Q27" s="5">
        <f t="shared" si="18"/>
        <v>0</v>
      </c>
      <c r="R27" s="5">
        <f t="shared" si="19"/>
        <v>0</v>
      </c>
      <c r="T27" s="44"/>
      <c r="U27" s="46">
        <f>SUM(U1:U26)</f>
        <v>10</v>
      </c>
      <c r="V27" s="46"/>
      <c r="W27" s="422">
        <f>SUM(W1:W26)</f>
        <v>0</v>
      </c>
      <c r="Y27" s="444">
        <v>0.6</v>
      </c>
      <c r="Z27" s="445">
        <v>12</v>
      </c>
      <c r="AA27" s="441">
        <f t="shared" si="11"/>
        <v>0</v>
      </c>
    </row>
    <row r="28" spans="1:27" s="41" customFormat="1" ht="16.5" thickBot="1">
      <c r="A28" s="6">
        <f t="shared" si="2"/>
        <v>-73</v>
      </c>
      <c r="B28" s="6">
        <f t="shared" si="0"/>
        <v>0</v>
      </c>
      <c r="C28" s="6">
        <v>28</v>
      </c>
      <c r="D28" s="6">
        <f t="shared" si="1"/>
        <v>0</v>
      </c>
      <c r="G28" s="29" t="b">
        <f>AND($G$1=2,$K$9=1,'Simulazione 10.1'!$C$4&gt;=5000)</f>
        <v>0</v>
      </c>
      <c r="H28" s="30" t="s">
        <v>11</v>
      </c>
      <c r="I28" s="47">
        <v>112</v>
      </c>
      <c r="J28" s="48">
        <f t="shared" si="14"/>
        <v>30</v>
      </c>
      <c r="K28" s="61">
        <f t="shared" si="15"/>
        <v>0</v>
      </c>
      <c r="L28" s="61">
        <f t="shared" si="16"/>
        <v>0</v>
      </c>
      <c r="M28" s="29" t="b">
        <f>AND($G$1=2,$K$9=4,'Simulazione 10.1'!$C$4&gt;=5000)</f>
        <v>0</v>
      </c>
      <c r="N28" s="30" t="s">
        <v>11</v>
      </c>
      <c r="O28" s="47">
        <v>106</v>
      </c>
      <c r="P28" s="48">
        <f t="shared" si="17"/>
        <v>24</v>
      </c>
      <c r="Q28" s="5">
        <f t="shared" si="18"/>
        <v>0</v>
      </c>
      <c r="R28" s="5">
        <f t="shared" si="19"/>
        <v>0</v>
      </c>
      <c r="T28" s="44"/>
      <c r="W28" s="44"/>
      <c r="Y28" s="444">
        <v>0.65</v>
      </c>
      <c r="Z28" s="445">
        <v>13</v>
      </c>
      <c r="AA28" s="441">
        <f t="shared" si="11"/>
        <v>0</v>
      </c>
    </row>
    <row r="29" spans="1:27" s="41" customFormat="1" ht="16.5" thickBot="1">
      <c r="A29" s="6">
        <f t="shared" si="2"/>
        <v>-72</v>
      </c>
      <c r="B29" s="6">
        <f t="shared" si="0"/>
        <v>0</v>
      </c>
      <c r="C29" s="6">
        <v>29</v>
      </c>
      <c r="D29" s="6">
        <f t="shared" si="1"/>
        <v>0</v>
      </c>
      <c r="I29" s="44"/>
      <c r="J29" s="44"/>
      <c r="K29" s="33">
        <f>IF($K$9=1,K23+K24+K25+K26+K27+K28,0)</f>
        <v>0</v>
      </c>
      <c r="L29" s="33">
        <f>IF($K$9=1,L23+L24+L25+L26+L27+L28,0)</f>
        <v>0</v>
      </c>
      <c r="N29" s="44"/>
      <c r="O29" s="44"/>
      <c r="P29" s="44"/>
      <c r="Q29" s="33">
        <f>IF($K$9=4,Q23+Q24+Q25+Q26+Q27+Q28,0)</f>
        <v>0</v>
      </c>
      <c r="R29" s="33">
        <f>IF($K$9=4,R23+R24+R25+R26+R27+R28,0)</f>
        <v>0</v>
      </c>
      <c r="T29" s="44"/>
      <c r="W29" s="44"/>
      <c r="Y29" s="444">
        <v>0.7</v>
      </c>
      <c r="Z29" s="445">
        <v>14</v>
      </c>
      <c r="AA29" s="441">
        <f t="shared" si="11"/>
        <v>0</v>
      </c>
    </row>
    <row r="30" spans="1:27" s="41" customFormat="1" ht="15.75">
      <c r="A30" s="6">
        <f t="shared" si="2"/>
        <v>-71</v>
      </c>
      <c r="B30" s="6">
        <f t="shared" si="0"/>
        <v>0</v>
      </c>
      <c r="C30" s="6">
        <v>30</v>
      </c>
      <c r="D30" s="6">
        <f t="shared" si="1"/>
        <v>0</v>
      </c>
      <c r="T30" s="49" t="s">
        <v>73</v>
      </c>
      <c r="V30" s="41">
        <f t="shared" ref="V30:V39" si="20">IF($U$41=W30,X30,0)</f>
        <v>0</v>
      </c>
      <c r="W30" s="44">
        <v>1</v>
      </c>
      <c r="X30" s="41">
        <v>10</v>
      </c>
      <c r="Y30" s="444">
        <v>0.75</v>
      </c>
      <c r="Z30" s="445">
        <v>15</v>
      </c>
      <c r="AA30" s="441">
        <f t="shared" si="11"/>
        <v>0</v>
      </c>
    </row>
    <row r="31" spans="1:27" s="41" customFormat="1" ht="16.5" thickBot="1">
      <c r="A31" s="6">
        <f t="shared" si="2"/>
        <v>-70</v>
      </c>
      <c r="B31" s="6">
        <f t="shared" si="0"/>
        <v>0</v>
      </c>
      <c r="C31" s="6">
        <v>31</v>
      </c>
      <c r="D31" s="6">
        <f t="shared" si="1"/>
        <v>0</v>
      </c>
      <c r="T31" s="49" t="s">
        <v>64</v>
      </c>
      <c r="V31" s="41">
        <f t="shared" si="20"/>
        <v>0</v>
      </c>
      <c r="W31" s="44">
        <v>2</v>
      </c>
      <c r="X31" s="41">
        <v>20</v>
      </c>
      <c r="Y31" s="444">
        <v>0.8</v>
      </c>
      <c r="Z31" s="445">
        <v>16</v>
      </c>
      <c r="AA31" s="441">
        <f t="shared" si="11"/>
        <v>0</v>
      </c>
    </row>
    <row r="32" spans="1:27" s="41" customFormat="1" ht="15.75">
      <c r="A32" s="6">
        <f t="shared" si="2"/>
        <v>-69</v>
      </c>
      <c r="B32" s="6">
        <f t="shared" si="0"/>
        <v>0</v>
      </c>
      <c r="C32" s="6">
        <v>32</v>
      </c>
      <c r="D32" s="6">
        <f t="shared" si="1"/>
        <v>0</v>
      </c>
      <c r="G32" s="62"/>
      <c r="H32" s="63"/>
      <c r="I32" s="64" t="s">
        <v>2</v>
      </c>
      <c r="J32" s="65" t="s">
        <v>3</v>
      </c>
      <c r="K32" s="40"/>
      <c r="L32" s="40"/>
      <c r="M32" s="62"/>
      <c r="N32" s="63"/>
      <c r="O32" s="64" t="s">
        <v>2</v>
      </c>
      <c r="P32" s="65" t="s">
        <v>3</v>
      </c>
      <c r="Q32" s="38"/>
      <c r="R32" s="38"/>
      <c r="T32" s="49" t="s">
        <v>65</v>
      </c>
      <c r="V32" s="41">
        <f t="shared" si="20"/>
        <v>0</v>
      </c>
      <c r="W32" s="44">
        <v>3</v>
      </c>
      <c r="X32" s="41">
        <v>30</v>
      </c>
      <c r="Y32" s="444">
        <v>0.85</v>
      </c>
      <c r="Z32" s="445">
        <v>17</v>
      </c>
      <c r="AA32" s="441">
        <f t="shared" si="11"/>
        <v>0</v>
      </c>
    </row>
    <row r="33" spans="1:29" s="41" customFormat="1" ht="15.75">
      <c r="A33" s="6">
        <f t="shared" si="2"/>
        <v>-68</v>
      </c>
      <c r="B33" s="6">
        <f t="shared" si="0"/>
        <v>0</v>
      </c>
      <c r="C33" s="6">
        <v>33</v>
      </c>
      <c r="D33" s="6">
        <f t="shared" si="1"/>
        <v>0</v>
      </c>
      <c r="G33" s="22" t="b">
        <f>AND($G$1=3,$K$9=1,'Simulazione 10.1'!$C$4&lt;=3,'Simulazione 10.1'!$C$4&gt;=1)</f>
        <v>0</v>
      </c>
      <c r="H33" s="28" t="s">
        <v>6</v>
      </c>
      <c r="I33" s="42">
        <v>157</v>
      </c>
      <c r="J33" s="43">
        <f t="shared" ref="J33:J38" si="21">I33-82</f>
        <v>75</v>
      </c>
      <c r="K33" s="61">
        <f t="shared" ref="K33:K38" si="22">IF(G33=TRUE,I33,0)</f>
        <v>0</v>
      </c>
      <c r="L33" s="61">
        <f t="shared" ref="L33:L38" si="23">IF(G33=TRUE,J33,0)</f>
        <v>0</v>
      </c>
      <c r="M33" s="22" t="b">
        <f>AND($G$1=3,$K$9=4,'Simulazione 10.1'!$C$4&lt;=3,'Simulazione 10.1'!$C$4&gt;=1)</f>
        <v>0</v>
      </c>
      <c r="N33" s="28" t="s">
        <v>6</v>
      </c>
      <c r="O33" s="42">
        <v>152</v>
      </c>
      <c r="P33" s="43">
        <f t="shared" ref="P33:P38" si="24">O33-82</f>
        <v>70</v>
      </c>
      <c r="Q33" s="5">
        <f>IF(M33=TRUE,O33,0)</f>
        <v>0</v>
      </c>
      <c r="R33" s="5">
        <f>IF(M33=TRUE,P33,0)</f>
        <v>0</v>
      </c>
      <c r="T33" s="49" t="s">
        <v>66</v>
      </c>
      <c r="V33" s="41">
        <f t="shared" si="20"/>
        <v>0</v>
      </c>
      <c r="W33" s="44">
        <v>4</v>
      </c>
      <c r="X33" s="41">
        <v>40</v>
      </c>
      <c r="Y33" s="444">
        <v>0.9</v>
      </c>
      <c r="Z33" s="445">
        <v>18</v>
      </c>
      <c r="AA33" s="441">
        <f t="shared" si="11"/>
        <v>0</v>
      </c>
    </row>
    <row r="34" spans="1:29" s="41" customFormat="1" ht="15.75">
      <c r="A34" s="6">
        <f t="shared" si="2"/>
        <v>-67</v>
      </c>
      <c r="B34" s="6">
        <f t="shared" si="0"/>
        <v>0</v>
      </c>
      <c r="C34" s="6">
        <v>34</v>
      </c>
      <c r="D34" s="6">
        <f t="shared" si="1"/>
        <v>0</v>
      </c>
      <c r="G34" s="22" t="b">
        <f>AND($G$1=3,$K$9=1,'Simulazione 10.1'!$C$4&lt;=20,'Simulazione 10.1'!$C$4&gt;3)</f>
        <v>0</v>
      </c>
      <c r="H34" s="28" t="s">
        <v>7</v>
      </c>
      <c r="I34" s="42">
        <v>149</v>
      </c>
      <c r="J34" s="43">
        <f t="shared" si="21"/>
        <v>67</v>
      </c>
      <c r="K34" s="61">
        <f t="shared" si="22"/>
        <v>0</v>
      </c>
      <c r="L34" s="61">
        <f t="shared" si="23"/>
        <v>0</v>
      </c>
      <c r="M34" s="22" t="b">
        <f>AND($G$1=3,$K$9=4,'Simulazione 10.1'!$C$4&lt;=20,'Simulazione 10.1'!$C$4&gt;3)</f>
        <v>0</v>
      </c>
      <c r="N34" s="28" t="s">
        <v>7</v>
      </c>
      <c r="O34" s="42">
        <v>144</v>
      </c>
      <c r="P34" s="43">
        <f t="shared" si="24"/>
        <v>62</v>
      </c>
      <c r="Q34" s="5">
        <f t="shared" ref="Q34:Q38" si="25">IF(M34=TRUE,O34,0)</f>
        <v>0</v>
      </c>
      <c r="R34" s="5">
        <f t="shared" ref="R34:R38" si="26">IF(M34=TRUE,P34,0)</f>
        <v>0</v>
      </c>
      <c r="T34" s="49" t="s">
        <v>67</v>
      </c>
      <c r="V34" s="41">
        <f t="shared" si="20"/>
        <v>50</v>
      </c>
      <c r="W34" s="44">
        <v>5</v>
      </c>
      <c r="X34" s="41">
        <v>50</v>
      </c>
      <c r="Y34" s="444">
        <v>0.95</v>
      </c>
      <c r="Z34" s="445">
        <v>19</v>
      </c>
      <c r="AA34" s="441">
        <f t="shared" si="11"/>
        <v>0</v>
      </c>
    </row>
    <row r="35" spans="1:29" ht="15.75">
      <c r="A35" s="6">
        <f t="shared" si="2"/>
        <v>-66</v>
      </c>
      <c r="B35" s="6">
        <f t="shared" si="0"/>
        <v>0</v>
      </c>
      <c r="C35" s="6">
        <v>35</v>
      </c>
      <c r="D35" s="6">
        <f t="shared" si="1"/>
        <v>0</v>
      </c>
      <c r="G35" s="22" t="b">
        <f>AND($G$1=3,$K$9=1,'Simulazione 10.1'!$C$4&lt;=200,'Simulazione 10.1'!$C$4&gt;20)</f>
        <v>0</v>
      </c>
      <c r="H35" s="28" t="s">
        <v>8</v>
      </c>
      <c r="I35" s="42">
        <v>141</v>
      </c>
      <c r="J35" s="43">
        <f t="shared" si="21"/>
        <v>59</v>
      </c>
      <c r="K35" s="61">
        <f t="shared" si="22"/>
        <v>0</v>
      </c>
      <c r="L35" s="61">
        <f t="shared" si="23"/>
        <v>0</v>
      </c>
      <c r="M35" s="22" t="b">
        <f>AND($G$1=3,$K$9=4,'Simulazione 10.1'!$C$4&lt;=200,'Simulazione 10.1'!$C$4&gt;20)</f>
        <v>0</v>
      </c>
      <c r="N35" s="28" t="s">
        <v>8</v>
      </c>
      <c r="O35" s="42">
        <v>136</v>
      </c>
      <c r="P35" s="43">
        <f t="shared" si="24"/>
        <v>54</v>
      </c>
      <c r="Q35" s="5">
        <f t="shared" si="25"/>
        <v>0</v>
      </c>
      <c r="R35" s="5">
        <f t="shared" si="26"/>
        <v>0</v>
      </c>
      <c r="T35" s="49" t="s">
        <v>68</v>
      </c>
      <c r="V35" s="41">
        <f t="shared" si="20"/>
        <v>0</v>
      </c>
      <c r="W35" s="44">
        <v>6</v>
      </c>
      <c r="X35" s="41">
        <v>60</v>
      </c>
      <c r="Y35" s="444">
        <v>1</v>
      </c>
      <c r="Z35" s="445">
        <v>20</v>
      </c>
      <c r="AA35" s="441">
        <f t="shared" si="11"/>
        <v>100</v>
      </c>
    </row>
    <row r="36" spans="1:29" ht="15.75">
      <c r="A36" s="6">
        <f t="shared" si="2"/>
        <v>-65</v>
      </c>
      <c r="B36" s="6">
        <f t="shared" si="0"/>
        <v>0</v>
      </c>
      <c r="C36" s="6">
        <v>36</v>
      </c>
      <c r="D36" s="6">
        <f t="shared" si="1"/>
        <v>0</v>
      </c>
      <c r="G36" s="22" t="b">
        <f>AND($G$1=3,$K$9=1,'Simulazione 10.1'!$C$4&lt;=1000,'Simulazione 10.1'!$C$4&gt;200)</f>
        <v>1</v>
      </c>
      <c r="H36" s="28" t="s">
        <v>9</v>
      </c>
      <c r="I36" s="38">
        <v>118</v>
      </c>
      <c r="J36" s="39">
        <f t="shared" si="21"/>
        <v>36</v>
      </c>
      <c r="K36" s="61">
        <f t="shared" si="22"/>
        <v>118</v>
      </c>
      <c r="L36" s="61">
        <f t="shared" si="23"/>
        <v>36</v>
      </c>
      <c r="M36" s="22" t="b">
        <f>AND($G$1=3,$K$9=4,'Simulazione 10.1'!$C$4&lt;=1000,'Simulazione 10.1'!$C$4&gt;200)</f>
        <v>0</v>
      </c>
      <c r="N36" s="28" t="s">
        <v>9</v>
      </c>
      <c r="O36" s="38">
        <v>113</v>
      </c>
      <c r="P36" s="39">
        <f t="shared" si="24"/>
        <v>31</v>
      </c>
      <c r="Q36" s="5">
        <f t="shared" si="25"/>
        <v>0</v>
      </c>
      <c r="R36" s="5">
        <f t="shared" si="26"/>
        <v>0</v>
      </c>
      <c r="T36" s="49" t="s">
        <v>69</v>
      </c>
      <c r="V36" s="41">
        <f t="shared" si="20"/>
        <v>0</v>
      </c>
      <c r="W36" s="44">
        <v>7</v>
      </c>
      <c r="X36" s="41">
        <v>70</v>
      </c>
      <c r="Y36" s="440">
        <v>1.05</v>
      </c>
      <c r="Z36" s="445">
        <v>21</v>
      </c>
      <c r="AA36" s="441">
        <f t="shared" si="11"/>
        <v>0</v>
      </c>
    </row>
    <row r="37" spans="1:29" ht="15.75">
      <c r="A37" s="6">
        <f t="shared" si="2"/>
        <v>-64</v>
      </c>
      <c r="B37" s="6">
        <f t="shared" si="0"/>
        <v>0</v>
      </c>
      <c r="C37" s="6">
        <v>37</v>
      </c>
      <c r="D37" s="6">
        <f t="shared" si="1"/>
        <v>0</v>
      </c>
      <c r="G37" s="22" t="b">
        <f>AND($G$1=3,$K$9=1,'Simulazione 10.1'!$C$4&lt;=5000,'Simulazione 10.1'!$C$4&gt;1000)</f>
        <v>0</v>
      </c>
      <c r="H37" s="28" t="s">
        <v>10</v>
      </c>
      <c r="I37" s="42">
        <v>110</v>
      </c>
      <c r="J37" s="43">
        <f t="shared" si="21"/>
        <v>28</v>
      </c>
      <c r="K37" s="61">
        <f t="shared" si="22"/>
        <v>0</v>
      </c>
      <c r="L37" s="61">
        <f t="shared" si="23"/>
        <v>0</v>
      </c>
      <c r="M37" s="22" t="b">
        <f>AND($G$1=3,$K$9=4,'Simulazione 10.1'!$C$4&lt;=5000,'Simulazione 10.1'!$C$4&gt;1000)</f>
        <v>0</v>
      </c>
      <c r="N37" s="28" t="s">
        <v>10</v>
      </c>
      <c r="O37" s="42">
        <v>106</v>
      </c>
      <c r="P37" s="43">
        <f t="shared" si="24"/>
        <v>24</v>
      </c>
      <c r="Q37" s="5">
        <f t="shared" si="25"/>
        <v>0</v>
      </c>
      <c r="R37" s="5">
        <f t="shared" si="26"/>
        <v>0</v>
      </c>
      <c r="T37" s="49" t="s">
        <v>70</v>
      </c>
      <c r="V37" s="41">
        <f t="shared" si="20"/>
        <v>0</v>
      </c>
      <c r="W37" s="44">
        <v>8</v>
      </c>
      <c r="X37" s="41">
        <v>80</v>
      </c>
      <c r="Y37" s="440">
        <v>1.1000000000000001</v>
      </c>
      <c r="Z37" s="446">
        <v>22</v>
      </c>
      <c r="AA37" s="441">
        <f t="shared" si="11"/>
        <v>0</v>
      </c>
    </row>
    <row r="38" spans="1:29" ht="16.5" thickBot="1">
      <c r="A38" s="6">
        <f t="shared" si="2"/>
        <v>-63</v>
      </c>
      <c r="B38" s="6">
        <f t="shared" si="0"/>
        <v>0</v>
      </c>
      <c r="C38" s="6">
        <v>38</v>
      </c>
      <c r="D38" s="6">
        <f t="shared" si="1"/>
        <v>0</v>
      </c>
      <c r="G38" s="29" t="b">
        <f>AND($G$1=3,$K$9=1,'Simulazione 10.1'!$C$4&gt;=5000)</f>
        <v>0</v>
      </c>
      <c r="H38" s="30" t="s">
        <v>11</v>
      </c>
      <c r="I38" s="47">
        <v>104</v>
      </c>
      <c r="J38" s="48">
        <f t="shared" si="21"/>
        <v>22</v>
      </c>
      <c r="K38" s="61">
        <f t="shared" si="22"/>
        <v>0</v>
      </c>
      <c r="L38" s="61">
        <f t="shared" si="23"/>
        <v>0</v>
      </c>
      <c r="M38" s="29" t="b">
        <f>AND($G$1=3,$K$9=4,'Simulazione 10.1'!$C$4&gt;=5000)</f>
        <v>0</v>
      </c>
      <c r="N38" s="30" t="s">
        <v>11</v>
      </c>
      <c r="O38" s="47">
        <v>99</v>
      </c>
      <c r="P38" s="48">
        <f t="shared" si="24"/>
        <v>17</v>
      </c>
      <c r="Q38" s="5">
        <f t="shared" si="25"/>
        <v>0</v>
      </c>
      <c r="R38" s="5">
        <f t="shared" si="26"/>
        <v>0</v>
      </c>
      <c r="T38" s="49" t="s">
        <v>71</v>
      </c>
      <c r="V38" s="41">
        <f t="shared" si="20"/>
        <v>0</v>
      </c>
      <c r="W38" s="44">
        <v>9</v>
      </c>
      <c r="X38" s="41">
        <v>90</v>
      </c>
      <c r="Z38" s="447">
        <v>20</v>
      </c>
      <c r="AA38" s="448">
        <f>SUM(AA16:AA37)</f>
        <v>100</v>
      </c>
    </row>
    <row r="39" spans="1:29" ht="16.5" thickBot="1">
      <c r="A39" s="6">
        <f t="shared" si="2"/>
        <v>-62</v>
      </c>
      <c r="B39" s="6">
        <f t="shared" si="0"/>
        <v>0</v>
      </c>
      <c r="C39" s="6">
        <v>39</v>
      </c>
      <c r="D39" s="6">
        <f t="shared" si="1"/>
        <v>0</v>
      </c>
      <c r="G39" s="41"/>
      <c r="H39" s="41"/>
      <c r="I39" s="44"/>
      <c r="J39" s="44"/>
      <c r="K39" s="33">
        <f>IF($K$9=1,K33+K34+K35+K36+K37+K38,0)</f>
        <v>118</v>
      </c>
      <c r="L39" s="33">
        <f>IF($K$9=1,L33+L34+L35+L36+L37+L38,0)</f>
        <v>36</v>
      </c>
      <c r="M39" s="41"/>
      <c r="N39" s="44"/>
      <c r="O39" s="44"/>
      <c r="P39" s="44"/>
      <c r="Q39" s="33">
        <f>IF($K$9=4,Q33+Q34+Q35+Q36+Q37+Q38,0)</f>
        <v>0</v>
      </c>
      <c r="R39" s="33">
        <f>IF($K$9=4,R33+R34+R35+R36+R37+R38,0)</f>
        <v>0</v>
      </c>
      <c r="T39" s="49" t="s">
        <v>72</v>
      </c>
      <c r="V39" s="41">
        <f t="shared" si="20"/>
        <v>0</v>
      </c>
      <c r="W39" s="44">
        <v>10</v>
      </c>
      <c r="X39" s="41">
        <v>100</v>
      </c>
      <c r="Z39" s="6" t="s">
        <v>268</v>
      </c>
      <c r="AB39" s="57"/>
      <c r="AC39" s="57">
        <f>AC41-AC40</f>
        <v>0</v>
      </c>
    </row>
    <row r="40" spans="1:29" ht="15.75">
      <c r="A40" s="6">
        <f t="shared" si="2"/>
        <v>-61</v>
      </c>
      <c r="B40" s="6">
        <f t="shared" si="0"/>
        <v>0</v>
      </c>
      <c r="C40" s="6">
        <v>40</v>
      </c>
      <c r="D40" s="6">
        <f t="shared" si="1"/>
        <v>0</v>
      </c>
      <c r="G40" s="2"/>
      <c r="H40" s="2"/>
      <c r="I40" s="5"/>
      <c r="J40" s="5"/>
      <c r="K40" s="5"/>
      <c r="L40" s="5"/>
      <c r="M40" s="2"/>
      <c r="N40" s="5"/>
      <c r="O40" s="5"/>
      <c r="P40" s="5"/>
      <c r="Q40" s="5"/>
      <c r="R40" s="5"/>
      <c r="T40" s="49"/>
      <c r="V40" s="41"/>
      <c r="Z40" s="6" t="s">
        <v>175</v>
      </c>
      <c r="AB40" s="34"/>
      <c r="AC40" s="57">
        <f>AC41/100*AA38</f>
        <v>573900</v>
      </c>
    </row>
    <row r="41" spans="1:29" ht="15.75">
      <c r="A41" s="6">
        <f t="shared" si="2"/>
        <v>-60</v>
      </c>
      <c r="B41" s="6">
        <f t="shared" si="0"/>
        <v>0</v>
      </c>
      <c r="C41" s="6">
        <v>41</v>
      </c>
      <c r="D41" s="6">
        <f t="shared" si="1"/>
        <v>0</v>
      </c>
      <c r="T41" s="49"/>
      <c r="U41" s="6">
        <v>5</v>
      </c>
      <c r="V41" s="66">
        <f>SUM(V30:V39)</f>
        <v>50</v>
      </c>
      <c r="Z41" s="517" t="s">
        <v>85</v>
      </c>
      <c r="AA41" s="517"/>
      <c r="AC41" s="6">
        <f>'Simulazione 10.1'!I43+M43</f>
        <v>573900</v>
      </c>
    </row>
    <row r="42" spans="1:29" ht="15.75">
      <c r="A42" s="6">
        <f t="shared" si="2"/>
        <v>-59</v>
      </c>
      <c r="B42" s="6">
        <f t="shared" si="0"/>
        <v>0</v>
      </c>
      <c r="C42" s="6">
        <v>42</v>
      </c>
      <c r="D42" s="6">
        <f t="shared" si="1"/>
        <v>0</v>
      </c>
      <c r="T42" s="49"/>
      <c r="V42" s="41"/>
    </row>
    <row r="43" spans="1:29" ht="16.5" thickBot="1">
      <c r="A43" s="6">
        <f t="shared" si="2"/>
        <v>-58</v>
      </c>
      <c r="B43" s="6">
        <f t="shared" si="0"/>
        <v>0</v>
      </c>
      <c r="C43" s="6">
        <v>43</v>
      </c>
      <c r="D43" s="6">
        <f t="shared" si="1"/>
        <v>0</v>
      </c>
      <c r="T43" s="49"/>
      <c r="V43" s="41"/>
    </row>
    <row r="44" spans="1:29" ht="15.75">
      <c r="A44" s="6">
        <f t="shared" si="2"/>
        <v>-57</v>
      </c>
      <c r="B44" s="6">
        <f t="shared" si="0"/>
        <v>0</v>
      </c>
      <c r="C44" s="6">
        <v>44</v>
      </c>
      <c r="D44" s="6">
        <f t="shared" si="1"/>
        <v>0</v>
      </c>
      <c r="G44" s="62"/>
      <c r="H44" s="63"/>
      <c r="I44" s="64" t="s">
        <v>2</v>
      </c>
      <c r="J44" s="65" t="s">
        <v>3</v>
      </c>
      <c r="K44" s="40"/>
      <c r="L44" s="40"/>
      <c r="M44" s="62"/>
      <c r="N44" s="63"/>
      <c r="O44" s="64" t="s">
        <v>2</v>
      </c>
      <c r="P44" s="65" t="s">
        <v>3</v>
      </c>
      <c r="Q44" s="38"/>
      <c r="R44" s="38"/>
      <c r="S44" s="61"/>
      <c r="T44" s="49"/>
      <c r="V44" s="41"/>
    </row>
    <row r="45" spans="1:29" ht="15.75">
      <c r="A45" s="6">
        <f t="shared" si="2"/>
        <v>-56</v>
      </c>
      <c r="B45" s="6">
        <f t="shared" si="0"/>
        <v>0</v>
      </c>
      <c r="C45" s="6">
        <v>45</v>
      </c>
      <c r="D45" s="6">
        <f t="shared" si="1"/>
        <v>0</v>
      </c>
      <c r="G45" s="22" t="b">
        <f>AND($G$1=4,$K$9=1,'Simulazione 10.1'!$C$4&lt;=3,'Simulazione 10.1'!$C$4&gt;=1)</f>
        <v>0</v>
      </c>
      <c r="H45" s="28" t="s">
        <v>6</v>
      </c>
      <c r="I45" s="42">
        <v>144</v>
      </c>
      <c r="J45" s="43">
        <f t="shared" ref="J45:J50" si="27">I45-82</f>
        <v>62</v>
      </c>
      <c r="K45" s="61">
        <f t="shared" ref="K45:K50" si="28">IF(G45=TRUE,I45,0)</f>
        <v>0</v>
      </c>
      <c r="L45" s="61">
        <f t="shared" ref="L45:L50" si="29">IF(G45=TRUE,J45,0)</f>
        <v>0</v>
      </c>
      <c r="M45" s="22" t="b">
        <f>AND($G$1=4,$K$9=4,'Simulazione 10.1'!$C$4&lt;=3,'Simulazione 10.1'!$C$4&gt;=1)</f>
        <v>0</v>
      </c>
      <c r="N45" s="28" t="s">
        <v>6</v>
      </c>
      <c r="O45" s="42">
        <v>140</v>
      </c>
      <c r="P45" s="43">
        <f t="shared" ref="P45:P50" si="30">O45-82</f>
        <v>58</v>
      </c>
      <c r="Q45" s="5">
        <f>IF(M45=TRUE,O45,0)</f>
        <v>0</v>
      </c>
      <c r="R45" s="5">
        <f>IF(M45=TRUE,P45,0)</f>
        <v>0</v>
      </c>
      <c r="S45" s="61"/>
      <c r="T45" s="49"/>
      <c r="V45" s="41"/>
    </row>
    <row r="46" spans="1:29" ht="15.75">
      <c r="A46" s="6">
        <f t="shared" si="2"/>
        <v>-55</v>
      </c>
      <c r="B46" s="6">
        <f t="shared" si="0"/>
        <v>0</v>
      </c>
      <c r="C46" s="6">
        <v>46</v>
      </c>
      <c r="D46" s="6">
        <f t="shared" si="1"/>
        <v>0</v>
      </c>
      <c r="G46" s="22" t="b">
        <f>AND($G$1=4,$K$9=1,'Simulazione 10.1'!$C$4&lt;=20,'Simulazione 10.1'!$C$4&gt;3)</f>
        <v>0</v>
      </c>
      <c r="H46" s="28" t="s">
        <v>7</v>
      </c>
      <c r="I46" s="42">
        <v>137</v>
      </c>
      <c r="J46" s="43">
        <f t="shared" si="27"/>
        <v>55</v>
      </c>
      <c r="K46" s="61">
        <f t="shared" si="28"/>
        <v>0</v>
      </c>
      <c r="L46" s="61">
        <f t="shared" si="29"/>
        <v>0</v>
      </c>
      <c r="M46" s="22" t="b">
        <f>AND($G$1=4,$K$9=4,'Simulazione 10.1'!$C$4&lt;=20,'Simulazione 10.1'!$C$4&gt;3)</f>
        <v>0</v>
      </c>
      <c r="N46" s="28" t="s">
        <v>7</v>
      </c>
      <c r="O46" s="42">
        <v>133</v>
      </c>
      <c r="P46" s="43">
        <f t="shared" si="30"/>
        <v>51</v>
      </c>
      <c r="Q46" s="5">
        <f t="shared" ref="Q46:Q50" si="31">IF(M46=TRUE,O46,0)</f>
        <v>0</v>
      </c>
      <c r="R46" s="5">
        <f t="shared" ref="R46:R50" si="32">IF(M46=TRUE,P46,0)</f>
        <v>0</v>
      </c>
      <c r="T46" s="49" t="s">
        <v>28</v>
      </c>
      <c r="V46" s="41"/>
    </row>
    <row r="47" spans="1:29" ht="15.75">
      <c r="A47" s="6">
        <f t="shared" si="2"/>
        <v>-54</v>
      </c>
      <c r="B47" s="6">
        <f t="shared" si="0"/>
        <v>0</v>
      </c>
      <c r="C47" s="6">
        <v>47</v>
      </c>
      <c r="D47" s="6">
        <f t="shared" si="1"/>
        <v>0</v>
      </c>
      <c r="G47" s="22" t="b">
        <f>AND($G$1=4,$K$9=1,'Simulazione 10.1'!$C$4&lt;=200,'Simulazione 10.1'!$C$4&gt;20)</f>
        <v>0</v>
      </c>
      <c r="H47" s="28" t="s">
        <v>8</v>
      </c>
      <c r="I47" s="42">
        <v>131</v>
      </c>
      <c r="J47" s="43">
        <f t="shared" si="27"/>
        <v>49</v>
      </c>
      <c r="K47" s="61">
        <f t="shared" si="28"/>
        <v>0</v>
      </c>
      <c r="L47" s="61">
        <f t="shared" si="29"/>
        <v>0</v>
      </c>
      <c r="M47" s="22" t="b">
        <f>AND($G$1=4,$K$9=4,'Simulazione 10.1'!$C$4&lt;=200,'Simulazione 10.1'!$C$4&gt;20)</f>
        <v>0</v>
      </c>
      <c r="N47" s="28" t="s">
        <v>8</v>
      </c>
      <c r="O47" s="42">
        <v>126</v>
      </c>
      <c r="P47" s="43">
        <f t="shared" si="30"/>
        <v>44</v>
      </c>
      <c r="Q47" s="5">
        <f t="shared" si="31"/>
        <v>0</v>
      </c>
      <c r="R47" s="5">
        <f t="shared" si="32"/>
        <v>0</v>
      </c>
      <c r="T47" s="49" t="s">
        <v>75</v>
      </c>
      <c r="V47" s="41"/>
    </row>
    <row r="48" spans="1:29" ht="15.75">
      <c r="A48" s="6">
        <f t="shared" si="2"/>
        <v>-53</v>
      </c>
      <c r="B48" s="6">
        <f t="shared" si="0"/>
        <v>0</v>
      </c>
      <c r="C48" s="6">
        <v>48</v>
      </c>
      <c r="D48" s="6">
        <f t="shared" si="1"/>
        <v>0</v>
      </c>
      <c r="G48" s="22" t="b">
        <f>AND($G$1=4,$K$9=1,'Simulazione 10.1'!$C$4&lt;=1000,'Simulazione 10.1'!$C$4&gt;200)</f>
        <v>0</v>
      </c>
      <c r="H48" s="28" t="s">
        <v>9</v>
      </c>
      <c r="I48" s="38">
        <v>111</v>
      </c>
      <c r="J48" s="39">
        <f t="shared" si="27"/>
        <v>29</v>
      </c>
      <c r="K48" s="61">
        <f t="shared" si="28"/>
        <v>0</v>
      </c>
      <c r="L48" s="61">
        <f t="shared" si="29"/>
        <v>0</v>
      </c>
      <c r="M48" s="22" t="b">
        <f>AND($G$1=4,$K$9=4,'Simulazione 10.1'!$C$4&lt;=1000,'Simulazione 10.1'!$C$4&gt;200)</f>
        <v>0</v>
      </c>
      <c r="N48" s="28" t="s">
        <v>9</v>
      </c>
      <c r="O48" s="38">
        <v>107</v>
      </c>
      <c r="P48" s="39">
        <f t="shared" si="30"/>
        <v>25</v>
      </c>
      <c r="Q48" s="5">
        <f t="shared" si="31"/>
        <v>0</v>
      </c>
      <c r="R48" s="5">
        <f t="shared" si="32"/>
        <v>0</v>
      </c>
      <c r="T48" s="49"/>
      <c r="V48" s="41"/>
    </row>
    <row r="49" spans="1:22" ht="15.75">
      <c r="A49" s="6">
        <f t="shared" si="2"/>
        <v>-52</v>
      </c>
      <c r="B49" s="6">
        <f t="shared" si="0"/>
        <v>0</v>
      </c>
      <c r="C49" s="6">
        <v>49</v>
      </c>
      <c r="D49" s="6">
        <f t="shared" si="1"/>
        <v>0</v>
      </c>
      <c r="G49" s="22" t="b">
        <f>AND($G$1=4,$K$9=1,'Simulazione 10.1'!$C$4&lt;=5000,'Simulazione 10.1'!$C$4&gt;1000)</f>
        <v>0</v>
      </c>
      <c r="H49" s="28" t="s">
        <v>10</v>
      </c>
      <c r="I49" s="42">
        <v>105</v>
      </c>
      <c r="J49" s="43">
        <f t="shared" si="27"/>
        <v>23</v>
      </c>
      <c r="K49" s="61">
        <f t="shared" si="28"/>
        <v>0</v>
      </c>
      <c r="L49" s="61">
        <f t="shared" si="29"/>
        <v>0</v>
      </c>
      <c r="M49" s="22" t="b">
        <f>AND($G$1=4,$K$9=4,'Simulazione 10.1'!$C$4&lt;=5000,'Simulazione 10.1'!$C$4&gt;1000)</f>
        <v>0</v>
      </c>
      <c r="N49" s="28" t="s">
        <v>10</v>
      </c>
      <c r="O49" s="42">
        <v>101</v>
      </c>
      <c r="P49" s="43">
        <f t="shared" si="30"/>
        <v>19</v>
      </c>
      <c r="Q49" s="5">
        <f t="shared" si="31"/>
        <v>0</v>
      </c>
      <c r="R49" s="5">
        <f t="shared" si="32"/>
        <v>0</v>
      </c>
      <c r="T49" s="49">
        <v>1</v>
      </c>
      <c r="U49" s="6" t="b">
        <f>AND(T49=1,'Simulazione 10.1'!C4&lt;=200)</f>
        <v>0</v>
      </c>
      <c r="V49" s="41"/>
    </row>
    <row r="50" spans="1:22" ht="16.5" thickBot="1">
      <c r="A50" s="6">
        <f t="shared" si="2"/>
        <v>-51</v>
      </c>
      <c r="B50" s="6">
        <f t="shared" si="0"/>
        <v>0</v>
      </c>
      <c r="C50" s="6">
        <v>50</v>
      </c>
      <c r="D50" s="6">
        <f t="shared" si="1"/>
        <v>0</v>
      </c>
      <c r="G50" s="29" t="b">
        <f>AND($G$1=4,$K$9=1,'Simulazione 10.1'!$C$4&gt;=5000)</f>
        <v>0</v>
      </c>
      <c r="H50" s="30" t="s">
        <v>11</v>
      </c>
      <c r="I50" s="47">
        <v>99</v>
      </c>
      <c r="J50" s="48">
        <f t="shared" si="27"/>
        <v>17</v>
      </c>
      <c r="K50" s="61">
        <f t="shared" si="28"/>
        <v>0</v>
      </c>
      <c r="L50" s="61">
        <f t="shared" si="29"/>
        <v>0</v>
      </c>
      <c r="M50" s="29" t="b">
        <f>AND($G$1=4,$K$9=4,'Simulazione 10.1'!$C$4&gt;=5000)</f>
        <v>0</v>
      </c>
      <c r="N50" s="30" t="s">
        <v>11</v>
      </c>
      <c r="O50" s="47">
        <v>95</v>
      </c>
      <c r="P50" s="48">
        <f t="shared" si="30"/>
        <v>13</v>
      </c>
      <c r="Q50" s="5">
        <f t="shared" si="31"/>
        <v>0</v>
      </c>
      <c r="R50" s="5">
        <f t="shared" si="32"/>
        <v>0</v>
      </c>
    </row>
    <row r="51" spans="1:22" ht="16.5" thickBot="1">
      <c r="A51" s="6">
        <f t="shared" si="2"/>
        <v>-50</v>
      </c>
      <c r="B51" s="6">
        <f t="shared" si="0"/>
        <v>0</v>
      </c>
      <c r="C51" s="6">
        <v>51</v>
      </c>
      <c r="D51" s="6">
        <f t="shared" si="1"/>
        <v>0</v>
      </c>
      <c r="G51" s="41"/>
      <c r="H51" s="41"/>
      <c r="I51" s="44"/>
      <c r="J51" s="44"/>
      <c r="K51" s="33">
        <f>IF($K$9=1,K45+K46+K47+K48+K49+K50,0)</f>
        <v>0</v>
      </c>
      <c r="L51" s="33">
        <f>IF($K$9=1,L45+L46+L47+L48+L49+L50,0)</f>
        <v>0</v>
      </c>
      <c r="M51" s="41"/>
      <c r="N51" s="44"/>
      <c r="O51" s="44"/>
      <c r="P51" s="44"/>
      <c r="Q51" s="33">
        <f>IF($K$9=4,Q45+Q46+Q47+Q48+Q49+Q50,0)</f>
        <v>0</v>
      </c>
      <c r="R51" s="33">
        <f>IF($K$9=4,R45+R46+R47+R48+R49+R50,0)</f>
        <v>0</v>
      </c>
      <c r="S51" s="21"/>
      <c r="T51" s="21" t="s">
        <v>28</v>
      </c>
      <c r="U51" s="21"/>
    </row>
    <row r="52" spans="1:22">
      <c r="A52" s="6">
        <f t="shared" si="2"/>
        <v>-49</v>
      </c>
      <c r="B52" s="6">
        <f t="shared" si="0"/>
        <v>0</v>
      </c>
      <c r="C52" s="6">
        <v>52</v>
      </c>
      <c r="D52" s="6">
        <f t="shared" si="1"/>
        <v>0</v>
      </c>
      <c r="G52" s="2"/>
      <c r="H52" s="28"/>
      <c r="I52" s="5"/>
      <c r="J52" s="5"/>
      <c r="K52" s="5"/>
      <c r="L52" s="5"/>
      <c r="M52" s="2"/>
      <c r="N52" s="28"/>
      <c r="O52" s="5"/>
      <c r="P52" s="5"/>
      <c r="Q52" s="5"/>
      <c r="R52" s="5"/>
      <c r="T52" s="69" t="b">
        <f>AND(T49=1,'Simulazione 10.1'!C36&lt;'Simulazione 10.1'!C35)</f>
        <v>0</v>
      </c>
      <c r="V52" s="6">
        <f>IF(T52=TRUE,'Simulazione 10.1'!$C$36/100*Calcoli!$V$41,0)</f>
        <v>0</v>
      </c>
    </row>
    <row r="53" spans="1:22">
      <c r="A53" s="6">
        <f t="shared" si="2"/>
        <v>-48</v>
      </c>
      <c r="B53" s="6">
        <f t="shared" si="0"/>
        <v>0</v>
      </c>
      <c r="C53" s="6">
        <v>53</v>
      </c>
      <c r="D53" s="6">
        <f t="shared" si="1"/>
        <v>0</v>
      </c>
      <c r="G53" s="2"/>
      <c r="H53" s="28"/>
      <c r="I53" s="5"/>
      <c r="J53" s="5"/>
      <c r="K53" s="5"/>
      <c r="L53" s="5"/>
      <c r="M53" s="2"/>
      <c r="N53" s="28"/>
      <c r="O53" s="5"/>
      <c r="P53" s="5"/>
      <c r="Q53" s="5"/>
      <c r="R53" s="5"/>
      <c r="T53" s="69" t="b">
        <f>AND(T49=1,'Simulazione 10.1'!C36&gt;='Simulazione 10.1'!C35)</f>
        <v>1</v>
      </c>
      <c r="V53" s="6">
        <f>IF(T53=TRUE,'Simulazione 10.1'!$C$35/100*Calcoli!$V$41,0)</f>
        <v>277194.5</v>
      </c>
    </row>
    <row r="54" spans="1:22">
      <c r="A54" s="6">
        <f t="shared" si="2"/>
        <v>-47</v>
      </c>
      <c r="B54" s="6">
        <f t="shared" si="0"/>
        <v>0</v>
      </c>
      <c r="C54" s="6">
        <v>54</v>
      </c>
      <c r="D54" s="6">
        <f t="shared" si="1"/>
        <v>0</v>
      </c>
      <c r="G54" s="2"/>
      <c r="H54" s="2"/>
      <c r="I54" s="5"/>
      <c r="J54" s="5"/>
      <c r="K54" s="5"/>
      <c r="L54" s="5"/>
      <c r="M54" s="2"/>
      <c r="N54" s="5"/>
      <c r="O54" s="5"/>
      <c r="P54" s="5"/>
      <c r="Q54" s="5"/>
      <c r="R54" s="5"/>
    </row>
    <row r="55" spans="1:22">
      <c r="A55" s="6">
        <f t="shared" si="2"/>
        <v>-46</v>
      </c>
      <c r="B55" s="6">
        <f t="shared" si="0"/>
        <v>0</v>
      </c>
      <c r="C55" s="6">
        <v>55</v>
      </c>
      <c r="D55" s="6">
        <f t="shared" si="1"/>
        <v>0</v>
      </c>
      <c r="G55" s="2"/>
      <c r="H55" s="2"/>
      <c r="I55" s="2"/>
      <c r="J55" s="2"/>
      <c r="K55" s="2"/>
      <c r="L55" s="2"/>
      <c r="M55" s="2"/>
      <c r="N55" s="2"/>
      <c r="O55" s="2"/>
      <c r="P55" s="2"/>
      <c r="Q55" s="2"/>
      <c r="R55" s="2"/>
      <c r="V55" s="6">
        <f>SUM(V52:V54)</f>
        <v>277194.5</v>
      </c>
    </row>
    <row r="56" spans="1:22">
      <c r="A56" s="6">
        <f t="shared" si="2"/>
        <v>-45</v>
      </c>
      <c r="B56" s="6">
        <f t="shared" si="0"/>
        <v>0</v>
      </c>
      <c r="C56" s="6">
        <v>56</v>
      </c>
      <c r="D56" s="6">
        <f t="shared" si="1"/>
        <v>0</v>
      </c>
    </row>
    <row r="57" spans="1:22" ht="15.75" thickBot="1">
      <c r="A57" s="6">
        <f t="shared" si="2"/>
        <v>-44</v>
      </c>
      <c r="B57" s="6">
        <f t="shared" si="0"/>
        <v>0</v>
      </c>
      <c r="C57" s="6">
        <v>57</v>
      </c>
      <c r="D57" s="6">
        <f t="shared" si="1"/>
        <v>0</v>
      </c>
      <c r="T57" s="61" t="b">
        <f>AND($T$49=1,$G$1=6)</f>
        <v>0</v>
      </c>
    </row>
    <row r="58" spans="1:22" ht="15.75">
      <c r="A58" s="6">
        <f t="shared" si="2"/>
        <v>-43</v>
      </c>
      <c r="B58" s="6">
        <f t="shared" si="0"/>
        <v>0</v>
      </c>
      <c r="C58" s="6">
        <v>58</v>
      </c>
      <c r="D58" s="6">
        <f t="shared" si="1"/>
        <v>0</v>
      </c>
      <c r="G58" s="62"/>
      <c r="H58" s="63"/>
      <c r="I58" s="64" t="s">
        <v>2</v>
      </c>
      <c r="J58" s="65" t="s">
        <v>3</v>
      </c>
      <c r="K58" s="40"/>
      <c r="L58" s="40"/>
      <c r="M58" s="62"/>
      <c r="N58" s="63"/>
      <c r="O58" s="64" t="s">
        <v>2</v>
      </c>
      <c r="P58" s="65" t="s">
        <v>3</v>
      </c>
      <c r="Q58" s="38"/>
      <c r="R58" s="38"/>
      <c r="S58" s="61"/>
    </row>
    <row r="59" spans="1:22" ht="15.75">
      <c r="A59" s="6">
        <f t="shared" si="2"/>
        <v>-42</v>
      </c>
      <c r="B59" s="6">
        <f t="shared" si="0"/>
        <v>0</v>
      </c>
      <c r="C59" s="6">
        <v>59</v>
      </c>
      <c r="D59" s="6">
        <f t="shared" si="1"/>
        <v>0</v>
      </c>
      <c r="G59" s="22" t="b">
        <f>AND($G$1=5,$K$9=1,'Simulazione 10.1'!$C$4&lt;=3,'Simulazione 10.1'!$C$4&gt;=1)</f>
        <v>0</v>
      </c>
      <c r="H59" s="28" t="s">
        <v>6</v>
      </c>
      <c r="I59" s="42">
        <v>133</v>
      </c>
      <c r="J59" s="43">
        <f t="shared" ref="J59:J64" si="33">I59-82</f>
        <v>51</v>
      </c>
      <c r="K59" s="44">
        <f t="shared" ref="K59:K64" si="34">IF(G59=TRUE,I59,0)</f>
        <v>0</v>
      </c>
      <c r="L59" s="61">
        <f t="shared" ref="L59:L64" si="35">IF(G59=TRUE,J59,0)</f>
        <v>0</v>
      </c>
      <c r="M59" s="22" t="b">
        <f>AND($G$1=5,$K$9=4,'Simulazione 10.1'!$C$4&lt;=3,'Simulazione 10.1'!$C$4&gt;=1)</f>
        <v>0</v>
      </c>
      <c r="N59" s="28" t="s">
        <v>6</v>
      </c>
      <c r="O59" s="42">
        <v>130</v>
      </c>
      <c r="P59" s="43">
        <f t="shared" ref="P59:P64" si="36">O59-82</f>
        <v>48</v>
      </c>
      <c r="Q59" s="5">
        <f>IF(M59=TRUE,O59,0)</f>
        <v>0</v>
      </c>
      <c r="R59" s="5">
        <f>IF(M59=TRUE,P59,0)</f>
        <v>0</v>
      </c>
      <c r="S59" s="61"/>
    </row>
    <row r="60" spans="1:22" ht="15.75">
      <c r="A60" s="6">
        <f t="shared" si="2"/>
        <v>-41</v>
      </c>
      <c r="B60" s="6">
        <f t="shared" si="0"/>
        <v>0</v>
      </c>
      <c r="C60" s="6">
        <v>60</v>
      </c>
      <c r="D60" s="6">
        <f t="shared" si="1"/>
        <v>0</v>
      </c>
      <c r="G60" s="22" t="b">
        <f>AND($G$1=5,$K$9=1,'Simulazione 10.1'!$C$4&lt;=20,'Simulazione 10.1'!$C$4&gt;3)</f>
        <v>0</v>
      </c>
      <c r="H60" s="28" t="s">
        <v>7</v>
      </c>
      <c r="I60" s="42">
        <v>128</v>
      </c>
      <c r="J60" s="43">
        <f t="shared" si="33"/>
        <v>46</v>
      </c>
      <c r="K60" s="44">
        <f t="shared" si="34"/>
        <v>0</v>
      </c>
      <c r="L60" s="61">
        <f t="shared" si="35"/>
        <v>0</v>
      </c>
      <c r="M60" s="22" t="b">
        <f>AND($G$1=5,$K$9=4,'Simulazione 10.1'!$C$4&lt;=20,'Simulazione 10.1'!$C$4&gt;3)</f>
        <v>0</v>
      </c>
      <c r="N60" s="28" t="s">
        <v>7</v>
      </c>
      <c r="O60" s="42">
        <v>124</v>
      </c>
      <c r="P60" s="43">
        <f t="shared" si="36"/>
        <v>42</v>
      </c>
      <c r="Q60" s="5">
        <f t="shared" ref="Q60:Q64" si="37">IF(M60=TRUE,O60,0)</f>
        <v>0</v>
      </c>
      <c r="R60" s="5">
        <f t="shared" ref="R60:R64" si="38">IF(M60=TRUE,P60,0)</f>
        <v>0</v>
      </c>
    </row>
    <row r="61" spans="1:22" ht="15.75">
      <c r="A61" s="6">
        <f t="shared" si="2"/>
        <v>-40</v>
      </c>
      <c r="B61" s="6">
        <f t="shared" si="0"/>
        <v>0</v>
      </c>
      <c r="C61" s="6">
        <v>61</v>
      </c>
      <c r="D61" s="6">
        <f t="shared" si="1"/>
        <v>0</v>
      </c>
      <c r="G61" s="22" t="b">
        <f>AND($G$1=5,$K$9=1,'Simulazione 10.1'!$C$4&lt;=200,'Simulazione 10.1'!$C$4&gt;20)</f>
        <v>0</v>
      </c>
      <c r="H61" s="28" t="s">
        <v>8</v>
      </c>
      <c r="I61" s="42">
        <v>122</v>
      </c>
      <c r="J61" s="43">
        <f t="shared" si="33"/>
        <v>40</v>
      </c>
      <c r="K61" s="44">
        <f t="shared" si="34"/>
        <v>0</v>
      </c>
      <c r="L61" s="61">
        <f t="shared" si="35"/>
        <v>0</v>
      </c>
      <c r="M61" s="22" t="b">
        <f>AND($G$1=5,$K$9=4,'Simulazione 10.1'!$C$4&lt;=200,'Simulazione 10.1'!$C$4&gt;20)</f>
        <v>0</v>
      </c>
      <c r="N61" s="28" t="s">
        <v>8</v>
      </c>
      <c r="O61" s="42">
        <v>118</v>
      </c>
      <c r="P61" s="43">
        <f t="shared" si="36"/>
        <v>36</v>
      </c>
      <c r="Q61" s="5">
        <f t="shared" si="37"/>
        <v>0</v>
      </c>
      <c r="R61" s="5">
        <f t="shared" si="38"/>
        <v>0</v>
      </c>
    </row>
    <row r="62" spans="1:22" ht="15.75">
      <c r="A62" s="6">
        <f t="shared" si="2"/>
        <v>-39</v>
      </c>
      <c r="B62" s="6">
        <f t="shared" si="0"/>
        <v>0</v>
      </c>
      <c r="C62" s="6">
        <v>62</v>
      </c>
      <c r="D62" s="6">
        <f t="shared" si="1"/>
        <v>0</v>
      </c>
      <c r="G62" s="22" t="b">
        <f>AND($G$1=5,$K$9=1,'Simulazione 10.1'!$C$4&lt;=1000,'Simulazione 10.1'!$C$4&gt;200)</f>
        <v>0</v>
      </c>
      <c r="H62" s="28" t="s">
        <v>9</v>
      </c>
      <c r="I62" s="38">
        <v>106</v>
      </c>
      <c r="J62" s="39">
        <f t="shared" si="33"/>
        <v>24</v>
      </c>
      <c r="K62" s="40">
        <f t="shared" si="34"/>
        <v>0</v>
      </c>
      <c r="L62" s="61">
        <f t="shared" si="35"/>
        <v>0</v>
      </c>
      <c r="M62" s="22" t="b">
        <f>AND($G$1=5,$K$9=4,'Simulazione 10.1'!$C$4&lt;=1000,'Simulazione 10.1'!$C$4&gt;200)</f>
        <v>0</v>
      </c>
      <c r="N62" s="28" t="s">
        <v>9</v>
      </c>
      <c r="O62" s="38">
        <v>102</v>
      </c>
      <c r="P62" s="39">
        <f t="shared" si="36"/>
        <v>20</v>
      </c>
      <c r="Q62" s="5">
        <f t="shared" si="37"/>
        <v>0</v>
      </c>
      <c r="R62" s="5">
        <f t="shared" si="38"/>
        <v>0</v>
      </c>
    </row>
    <row r="63" spans="1:22" ht="15.75">
      <c r="A63" s="6">
        <f t="shared" si="2"/>
        <v>-38</v>
      </c>
      <c r="B63" s="6">
        <f t="shared" si="0"/>
        <v>0</v>
      </c>
      <c r="C63" s="6">
        <v>63</v>
      </c>
      <c r="D63" s="6">
        <f t="shared" si="1"/>
        <v>0</v>
      </c>
      <c r="G63" s="22" t="b">
        <f>AND($G$1=5,$K$9=1,'Simulazione 10.1'!$C$4&lt;=5000,'Simulazione 10.1'!$C$4&gt;1000)</f>
        <v>0</v>
      </c>
      <c r="H63" s="28" t="s">
        <v>10</v>
      </c>
      <c r="I63" s="42">
        <v>100</v>
      </c>
      <c r="J63" s="43">
        <f t="shared" si="33"/>
        <v>18</v>
      </c>
      <c r="K63" s="44">
        <f t="shared" si="34"/>
        <v>0</v>
      </c>
      <c r="L63" s="61">
        <f t="shared" si="35"/>
        <v>0</v>
      </c>
      <c r="M63" s="22" t="b">
        <f>AND($G$1=5,$K$9=4,'Simulazione 10.1'!$C$4&lt;=5000,'Simulazione 10.1'!$C$4&gt;1000)</f>
        <v>0</v>
      </c>
      <c r="N63" s="28" t="s">
        <v>10</v>
      </c>
      <c r="O63" s="42">
        <v>97</v>
      </c>
      <c r="P63" s="43">
        <f t="shared" si="36"/>
        <v>15</v>
      </c>
      <c r="Q63" s="5">
        <f t="shared" si="37"/>
        <v>0</v>
      </c>
      <c r="R63" s="5">
        <f t="shared" si="38"/>
        <v>0</v>
      </c>
    </row>
    <row r="64" spans="1:22" ht="16.5" thickBot="1">
      <c r="A64" s="6">
        <f t="shared" si="2"/>
        <v>-37</v>
      </c>
      <c r="B64" s="6">
        <f t="shared" si="0"/>
        <v>0</v>
      </c>
      <c r="C64" s="6">
        <v>64</v>
      </c>
      <c r="D64" s="6">
        <f t="shared" si="1"/>
        <v>0</v>
      </c>
      <c r="G64" s="29" t="b">
        <f>AND($G$1=5,$K$9=1,'Simulazione 10.1'!$C$4&gt;=5000)</f>
        <v>0</v>
      </c>
      <c r="H64" s="30" t="s">
        <v>11</v>
      </c>
      <c r="I64" s="47">
        <v>95</v>
      </c>
      <c r="J64" s="48">
        <f t="shared" si="33"/>
        <v>13</v>
      </c>
      <c r="K64" s="44">
        <f t="shared" si="34"/>
        <v>0</v>
      </c>
      <c r="L64" s="61">
        <f t="shared" si="35"/>
        <v>0</v>
      </c>
      <c r="M64" s="29" t="b">
        <f>AND($G$1=5,$K$9=4,'Simulazione 10.1'!$C$4&gt;=5000)</f>
        <v>0</v>
      </c>
      <c r="N64" s="30" t="s">
        <v>11</v>
      </c>
      <c r="O64" s="47">
        <v>92</v>
      </c>
      <c r="P64" s="48">
        <f t="shared" si="36"/>
        <v>10</v>
      </c>
      <c r="Q64" s="5">
        <f t="shared" si="37"/>
        <v>0</v>
      </c>
      <c r="R64" s="5">
        <f t="shared" si="38"/>
        <v>0</v>
      </c>
    </row>
    <row r="65" spans="1:31" ht="16.5" thickBot="1">
      <c r="A65" s="6">
        <f t="shared" si="2"/>
        <v>-36</v>
      </c>
      <c r="B65" s="6">
        <f t="shared" si="0"/>
        <v>0</v>
      </c>
      <c r="C65" s="6">
        <v>65</v>
      </c>
      <c r="D65" s="6">
        <f t="shared" si="1"/>
        <v>0</v>
      </c>
      <c r="G65" s="41"/>
      <c r="H65" s="41"/>
      <c r="I65" s="44"/>
      <c r="J65" s="44"/>
      <c r="K65" s="33">
        <f>IF($K$9=1,K59+K60+K61+K62+K63+K64,0)</f>
        <v>0</v>
      </c>
      <c r="L65" s="33">
        <f>IF($K$9=1,L59+L60+L61+L62+L63+L64,0)</f>
        <v>0</v>
      </c>
      <c r="M65" s="44"/>
      <c r="N65" s="44"/>
      <c r="O65" s="44"/>
      <c r="P65" s="44"/>
      <c r="Q65" s="33">
        <f>IF($K$9=4,Q59+Q60+Q61+Q62+Q63+Q64,0)</f>
        <v>0</v>
      </c>
      <c r="R65" s="33">
        <f>IF($K$9=4,R59+R60+R61+R62+R63+R64,0)</f>
        <v>0</v>
      </c>
    </row>
    <row r="66" spans="1:31">
      <c r="A66" s="6">
        <f t="shared" si="2"/>
        <v>-35</v>
      </c>
      <c r="B66" s="6">
        <f t="shared" ref="B66:B129" si="39">IF($E$1=C66,1,0)</f>
        <v>0</v>
      </c>
      <c r="C66" s="6">
        <v>66</v>
      </c>
      <c r="D66" s="6">
        <f t="shared" ref="D66:D129" si="40">IF(B66=1,A66,0)</f>
        <v>0</v>
      </c>
      <c r="G66" s="2"/>
      <c r="H66" s="2"/>
      <c r="I66" s="5"/>
      <c r="J66" s="5"/>
      <c r="K66" s="5"/>
      <c r="L66" s="5"/>
      <c r="M66" s="5"/>
      <c r="N66" s="5"/>
      <c r="O66" s="5"/>
      <c r="P66" s="5"/>
      <c r="Q66" s="5"/>
      <c r="R66" s="5"/>
      <c r="S66" s="2"/>
      <c r="T66" s="5"/>
      <c r="U66" s="2"/>
    </row>
    <row r="67" spans="1:31">
      <c r="A67" s="6">
        <f t="shared" ref="A67:A130" si="41">A66+1</f>
        <v>-34</v>
      </c>
      <c r="B67" s="6">
        <f t="shared" si="39"/>
        <v>0</v>
      </c>
      <c r="C67" s="6">
        <v>67</v>
      </c>
      <c r="D67" s="6">
        <f t="shared" si="40"/>
        <v>0</v>
      </c>
      <c r="G67" s="77">
        <f>IF($G$76&gt;1,'Simulazione 10.1'!E76+'Simulazione 10.1'!E77+'Simulazione 10.1'!E79+'Simulazione 10.1'!E80-'Simulazione 10.1'!E85-'Simulazione 10.1'!E91-'Simulazione 10.1'!E93-'Simulazione 10.1'!E94,0)</f>
        <v>-5422.6659374611081</v>
      </c>
      <c r="H67" s="77">
        <f>IF($G$76&gt;1,'Simulazione 10.1'!F76+'Simulazione 10.1'!F77+'Simulazione 10.1'!F79+'Simulazione 10.1'!F80-'Simulazione 10.1'!F85-'Simulazione 10.1'!F91-'Simulazione 10.1'!F93-'Simulazione 10.1'!F94,0)</f>
        <v>-31510.521194023961</v>
      </c>
      <c r="I67" s="77">
        <f>IF($G$76&gt;1,'Simulazione 10.1'!G76+'Simulazione 10.1'!G77+'Simulazione 10.1'!G79+'Simulazione 10.1'!G80-'Simulazione 10.1'!G85-'Simulazione 10.1'!G91-'Simulazione 10.1'!G93-'Simulazione 10.1'!G94,0)</f>
        <v>-31772.745003277752</v>
      </c>
      <c r="J67" s="77">
        <f>IF($G$76&gt;1,'Simulazione 10.1'!H76+'Simulazione 10.1'!H77+'Simulazione 10.1'!H79+'Simulazione 10.1'!H80-'Simulazione 10.1'!H85-'Simulazione 10.1'!H91-'Simulazione 10.1'!H93-'Simulazione 10.1'!H94,0)</f>
        <v>-32032.608798248253</v>
      </c>
      <c r="K67" s="77">
        <f>IF($G$76&gt;1,'Simulazione 10.1'!I76+'Simulazione 10.1'!I77+'Simulazione 10.1'!I79+'Simulazione 10.1'!I80-'Simulazione 10.1'!I85-'Simulazione 10.1'!I91-'Simulazione 10.1'!I93-'Simulazione 10.1'!I94,0)</f>
        <v>-32290.13381906402</v>
      </c>
      <c r="L67" s="77">
        <f>IF($G$76&gt;1,'Simulazione 10.1'!J76+'Simulazione 10.1'!J77+'Simulazione 10.1'!J79+'Simulazione 10.1'!J80-'Simulazione 10.1'!J85-'Simulazione 10.1'!J91-'Simulazione 10.1'!J93-'Simulazione 10.1'!J94,0)</f>
        <v>-32545.341114692445</v>
      </c>
      <c r="M67" s="77">
        <f>IF($G$76&gt;1,'Simulazione 10.1'!K76+'Simulazione 10.1'!K77+'Simulazione 10.1'!K79+'Simulazione 10.1'!K80-'Simulazione 10.1'!K85-'Simulazione 10.1'!K91-'Simulazione 10.1'!K93-'Simulazione 10.1'!K94,0)</f>
        <v>-32798.251544660219</v>
      </c>
      <c r="N67" s="77">
        <f>IF($G$76&gt;1,'Simulazione 10.1'!L76+'Simulazione 10.1'!L77+'Simulazione 10.1'!L79+'Simulazione 10.1'!L80-'Simulazione 10.1'!L85-'Simulazione 10.1'!L91-'Simulazione 10.1'!L93-'Simulazione 10.1'!L94,0)</f>
        <v>-33048.885780758275</v>
      </c>
      <c r="O67" s="77">
        <f>IF($G$76&gt;1,'Simulazione 10.1'!M76+'Simulazione 10.1'!M77+'Simulazione 10.1'!M79+'Simulazione 10.1'!M80-'Simulazione 10.1'!M85-'Simulazione 10.1'!M91-'Simulazione 10.1'!M93-'Simulazione 10.1'!M94,0)</f>
        <v>-33297.26430873145</v>
      </c>
      <c r="P67" s="77">
        <f>IF($G$76&gt;1,'Simulazione 10.1'!N76+'Simulazione 10.1'!N77+'Simulazione 10.1'!N79+'Simulazione 10.1'!N80-'Simulazione 10.1'!N85-'Simulazione 10.1'!N91-'Simulazione 10.1'!N93-'Simulazione 10.1'!N94,0)</f>
        <v>-33543.407429952873</v>
      </c>
      <c r="Q67" s="77">
        <f>IF($G$76&gt;1,'Simulazione 10.1'!O76+'Simulazione 10.1'!O77+'Simulazione 10.1'!O79+'Simulazione 10.1'!O80-'Simulazione 10.1'!O85-'Simulazione 10.1'!O91-'Simulazione 10.1'!O93-'Simulazione 10.1'!O94,0)</f>
        <v>-33787.335263083303</v>
      </c>
      <c r="R67" s="77">
        <f>IF($G$76&gt;1,'Simulazione 10.1'!P76+'Simulazione 10.1'!P77+'Simulazione 10.1'!P79+'Simulazione 10.1'!P80-'Simulazione 10.1'!P85-'Simulazione 10.1'!P91-'Simulazione 10.1'!P93-'Simulazione 10.1'!P94,0)</f>
        <v>-13944.317745715554</v>
      </c>
      <c r="S67" s="77">
        <f>IF($G$76&gt;1,'Simulazione 10.1'!Q76+'Simulazione 10.1'!Q77+'Simulazione 10.1'!Q79+'Simulazione 10.1'!Q80-'Simulazione 10.1'!Q85-'Simulazione 10.1'!Q91-'Simulazione 10.1'!Q93-'Simulazione 10.1'!Q94,0)</f>
        <v>17377.875363995881</v>
      </c>
      <c r="T67" s="77">
        <f>IF($G$76&gt;1,'Simulazione 10.1'!R76+'Simulazione 10.1'!R77+'Simulazione 10.1'!R79+'Simulazione 10.1'!R80-'Simulazione 10.1'!R85-'Simulazione 10.1'!R91-'Simulazione 10.1'!R93-'Simulazione 10.1'!R94,0)</f>
        <v>17140.474485719918</v>
      </c>
      <c r="U67" s="77">
        <f>IF($G$76&gt;1,'Simulazione 10.1'!S76+'Simulazione 10.1'!S77+'Simulazione 10.1'!S79+'Simulazione 10.1'!S80-'Simulazione 10.1'!S85-'Simulazione 10.1'!S91-'Simulazione 10.1'!S93-'Simulazione 10.1'!S94,0)</f>
        <v>16905.210215348441</v>
      </c>
      <c r="V67" s="77">
        <f>IF($G$76&gt;1,'Simulazione 10.1'!T76+'Simulazione 10.1'!T77+'Simulazione 10.1'!T79+'Simulazione 10.1'!T80-'Simulazione 10.1'!T85-'Simulazione 10.1'!T91-'Simulazione 10.1'!T93-'Simulazione 10.1'!T94,0)</f>
        <v>16672.063323410304</v>
      </c>
      <c r="W67" s="78">
        <f>IF($G$76&gt;1,'Simulazione 10.1'!U76+'Simulazione 10.1'!U77+'Simulazione 10.1'!U79+'Simulazione 10.1'!U80-'Simulazione 10.1'!U85-'Simulazione 10.1'!U91-'Simulazione 10.1'!U93-'Simulazione 10.1'!U94,0)</f>
        <v>16441.014753499614</v>
      </c>
      <c r="X67" s="77">
        <f>IF($G$76&gt;1,'Simulazione 10.1'!V76+'Simulazione 10.1'!V77+'Simulazione 10.1'!V79+'Simulazione 10.1'!V80-'Simulazione 10.1'!V85-'Simulazione 10.1'!V91-'Simulazione 10.1'!V93-'Simulazione 10.1'!V94,0)</f>
        <v>16212.045620718109</v>
      </c>
      <c r="Y67" s="77">
        <f>IF($G$76&gt;1,'Simulazione 10.1'!W76+'Simulazione 10.1'!W77+'Simulazione 10.1'!W79+'Simulazione 10.1'!W80-'Simulazione 10.1'!W85-'Simulazione 10.1'!W91-'Simulazione 10.1'!W93-'Simulazione 10.1'!W94,0)</f>
        <v>15985.137210131648</v>
      </c>
      <c r="Z67" s="77">
        <f>IF($G$76&gt;1,'Simulazione 10.1'!X76+'Simulazione 10.1'!X77+'Simulazione 10.1'!X79+'Simulazione 10.1'!X80-'Simulazione 10.1'!X85-'Simulazione 10.1'!X91-'Simulazione 10.1'!X93-'Simulazione 10.1'!X94,0)</f>
        <v>15760.270975240459</v>
      </c>
      <c r="AA67" s="77">
        <f>IF($G$76&gt;1,'Simulazione 10.1'!Y76+'Simulazione 10.1'!Y77+'Simulazione 10.1'!Y79+'Simulazione 10.1'!Y80-'Simulazione 10.1'!Y85-'Simulazione 10.1'!Y91-'Simulazione 10.1'!Y93-'Simulazione 10.1'!Y94,0)</f>
        <v>-9000</v>
      </c>
      <c r="AB67" s="77">
        <f>IF($G$76&gt;1,'Simulazione 10.1'!Z76+'Simulazione 10.1'!Z77+'Simulazione 10.1'!Z79+'Simulazione 10.1'!Z80-'Simulazione 10.1'!Z85-'Simulazione 10.1'!Z91-'Simulazione 10.1'!Z93-'Simulazione 10.1'!Z94,0)</f>
        <v>-9000</v>
      </c>
      <c r="AC67" s="77">
        <f>IF($G$76&gt;1,'Simulazione 10.1'!AA76+'Simulazione 10.1'!AA77+'Simulazione 10.1'!AA79+'Simulazione 10.1'!AA80-'Simulazione 10.1'!AA85-'Simulazione 10.1'!AA91-'Simulazione 10.1'!AA93-'Simulazione 10.1'!AA94,0)</f>
        <v>-9000</v>
      </c>
      <c r="AD67" s="77">
        <f>IF($G$76&gt;1,'Simulazione 10.1'!AB76+'Simulazione 10.1'!AB77+'Simulazione 10.1'!AB79+'Simulazione 10.1'!AB80-'Simulazione 10.1'!AB85-'Simulazione 10.1'!AB91-'Simulazione 10.1'!AB93-'Simulazione 10.1'!AB94,0)</f>
        <v>-9000</v>
      </c>
      <c r="AE67" s="77">
        <f>IF($G$76&gt;1,'Simulazione 10.1'!AC76+'Simulazione 10.1'!AC77+'Simulazione 10.1'!AC79+'Simulazione 10.1'!AC80-'Simulazione 10.1'!AC85-'Simulazione 10.1'!AC91-'Simulazione 10.1'!AC93-'Simulazione 10.1'!AC94,0)</f>
        <v>-9000</v>
      </c>
    </row>
    <row r="68" spans="1:31">
      <c r="A68" s="6">
        <f t="shared" si="41"/>
        <v>-33</v>
      </c>
      <c r="B68" s="6">
        <f t="shared" si="39"/>
        <v>0</v>
      </c>
      <c r="C68" s="6">
        <v>68</v>
      </c>
      <c r="D68" s="6">
        <f t="shared" si="40"/>
        <v>0</v>
      </c>
      <c r="G68" s="78">
        <f t="shared" ref="G68:L68" si="42">IF(G67&gt;0,G67,0)</f>
        <v>0</v>
      </c>
      <c r="H68" s="78">
        <f t="shared" si="42"/>
        <v>0</v>
      </c>
      <c r="I68" s="78">
        <f t="shared" si="42"/>
        <v>0</v>
      </c>
      <c r="J68" s="78">
        <f t="shared" si="42"/>
        <v>0</v>
      </c>
      <c r="K68" s="78">
        <f t="shared" si="42"/>
        <v>0</v>
      </c>
      <c r="L68" s="78">
        <f t="shared" si="42"/>
        <v>0</v>
      </c>
      <c r="M68" s="78">
        <f t="shared" ref="M68:AE68" si="43">IF(M67&gt;0,M67,0)</f>
        <v>0</v>
      </c>
      <c r="N68" s="78">
        <f t="shared" si="43"/>
        <v>0</v>
      </c>
      <c r="O68" s="78">
        <f t="shared" si="43"/>
        <v>0</v>
      </c>
      <c r="P68" s="78">
        <f t="shared" si="43"/>
        <v>0</v>
      </c>
      <c r="Q68" s="78">
        <f t="shared" si="43"/>
        <v>0</v>
      </c>
      <c r="R68" s="78">
        <f t="shared" si="43"/>
        <v>0</v>
      </c>
      <c r="S68" s="78">
        <f t="shared" si="43"/>
        <v>17377.875363995881</v>
      </c>
      <c r="T68" s="78">
        <f t="shared" si="43"/>
        <v>17140.474485719918</v>
      </c>
      <c r="U68" s="78">
        <f t="shared" si="43"/>
        <v>16905.210215348441</v>
      </c>
      <c r="V68" s="78">
        <f t="shared" si="43"/>
        <v>16672.063323410304</v>
      </c>
      <c r="W68" s="78">
        <f t="shared" si="43"/>
        <v>16441.014753499614</v>
      </c>
      <c r="X68" s="78">
        <f t="shared" si="43"/>
        <v>16212.045620718109</v>
      </c>
      <c r="Y68" s="78">
        <f t="shared" si="43"/>
        <v>15985.137210131648</v>
      </c>
      <c r="Z68" s="78">
        <f t="shared" si="43"/>
        <v>15760.270975240459</v>
      </c>
      <c r="AA68" s="78">
        <f t="shared" si="43"/>
        <v>0</v>
      </c>
      <c r="AB68" s="78">
        <f t="shared" si="43"/>
        <v>0</v>
      </c>
      <c r="AC68" s="78">
        <f t="shared" si="43"/>
        <v>0</v>
      </c>
      <c r="AD68" s="78">
        <f t="shared" si="43"/>
        <v>0</v>
      </c>
      <c r="AE68" s="78">
        <f t="shared" si="43"/>
        <v>0</v>
      </c>
    </row>
    <row r="69" spans="1:31">
      <c r="A69" s="6">
        <f t="shared" si="41"/>
        <v>-32</v>
      </c>
      <c r="B69" s="6">
        <f t="shared" si="39"/>
        <v>0</v>
      </c>
      <c r="C69" s="6">
        <v>69</v>
      </c>
      <c r="D69" s="6">
        <f t="shared" si="40"/>
        <v>0</v>
      </c>
    </row>
    <row r="70" spans="1:31">
      <c r="A70" s="6">
        <f t="shared" si="41"/>
        <v>-31</v>
      </c>
      <c r="B70" s="6">
        <f t="shared" si="39"/>
        <v>0</v>
      </c>
      <c r="C70" s="6">
        <v>70</v>
      </c>
      <c r="D70" s="6">
        <f t="shared" si="40"/>
        <v>0</v>
      </c>
      <c r="F70" s="6">
        <v>1</v>
      </c>
      <c r="G70" s="6" t="s">
        <v>91</v>
      </c>
    </row>
    <row r="71" spans="1:31">
      <c r="A71" s="6">
        <f t="shared" si="41"/>
        <v>-30</v>
      </c>
      <c r="B71" s="6">
        <f t="shared" si="39"/>
        <v>0</v>
      </c>
      <c r="C71" s="6">
        <v>71</v>
      </c>
      <c r="D71" s="6">
        <f t="shared" si="40"/>
        <v>0</v>
      </c>
      <c r="F71" s="6">
        <v>2</v>
      </c>
      <c r="G71" s="6" t="s">
        <v>108</v>
      </c>
      <c r="L71" s="57" t="s">
        <v>88</v>
      </c>
      <c r="O71" s="57" t="s">
        <v>121</v>
      </c>
      <c r="Q71" s="6" t="s">
        <v>125</v>
      </c>
    </row>
    <row r="72" spans="1:31">
      <c r="A72" s="6">
        <f t="shared" si="41"/>
        <v>-29</v>
      </c>
      <c r="B72" s="6">
        <f t="shared" si="39"/>
        <v>0</v>
      </c>
      <c r="C72" s="6">
        <v>72</v>
      </c>
      <c r="D72" s="6">
        <f t="shared" si="40"/>
        <v>0</v>
      </c>
      <c r="F72" s="6">
        <v>3</v>
      </c>
      <c r="G72" s="6" t="s">
        <v>107</v>
      </c>
      <c r="L72" s="6" t="b">
        <f>OR(G76=2,G76=3,G76=4)</f>
        <v>1</v>
      </c>
      <c r="O72" s="6" t="b">
        <f>OR(G76=1,G76=6)</f>
        <v>0</v>
      </c>
      <c r="P72" s="6">
        <v>1</v>
      </c>
      <c r="Q72" s="6" t="b">
        <f>AND('Simulazione 10.1'!$C$4&lt;=50)</f>
        <v>0</v>
      </c>
      <c r="R72" s="6">
        <v>200</v>
      </c>
      <c r="S72" s="6">
        <f>IF(Q72=TRUE,R72,0)</f>
        <v>0</v>
      </c>
    </row>
    <row r="73" spans="1:31">
      <c r="A73" s="6">
        <f t="shared" si="41"/>
        <v>-28</v>
      </c>
      <c r="B73" s="6">
        <f t="shared" si="39"/>
        <v>0</v>
      </c>
      <c r="C73" s="6">
        <v>73</v>
      </c>
      <c r="D73" s="6">
        <f t="shared" si="40"/>
        <v>0</v>
      </c>
      <c r="F73" s="6">
        <v>4</v>
      </c>
      <c r="G73" s="6" t="s">
        <v>106</v>
      </c>
      <c r="L73" s="57" t="s">
        <v>118</v>
      </c>
      <c r="P73" s="6">
        <v>2</v>
      </c>
      <c r="Q73" s="6" t="b">
        <f>AND('Simulazione 10.1'!$C$4&lt;=100,'Simulazione 10.1'!$C$4&gt;50)</f>
        <v>0</v>
      </c>
      <c r="R73" s="6">
        <v>300</v>
      </c>
      <c r="S73" s="6">
        <f>IF(Q73=TRUE,R73,0)</f>
        <v>0</v>
      </c>
      <c r="T73" s="115"/>
    </row>
    <row r="74" spans="1:31">
      <c r="A74" s="6">
        <f t="shared" si="41"/>
        <v>-27</v>
      </c>
      <c r="B74" s="6">
        <f t="shared" si="39"/>
        <v>0</v>
      </c>
      <c r="C74" s="6">
        <v>74</v>
      </c>
      <c r="D74" s="6">
        <f t="shared" si="40"/>
        <v>0</v>
      </c>
      <c r="F74" s="6">
        <v>5</v>
      </c>
      <c r="G74" s="6" t="s">
        <v>151</v>
      </c>
      <c r="L74" s="6" t="b">
        <f>OR(G76=3,G76=4,G76=5)</f>
        <v>1</v>
      </c>
      <c r="P74" s="6">
        <v>3</v>
      </c>
      <c r="Q74" s="6" t="b">
        <f>AND('Simulazione 10.1'!$C$4&lt;=500,'Simulazione 10.1'!$C$4&gt;100)</f>
        <v>1</v>
      </c>
      <c r="R74" s="6">
        <v>600</v>
      </c>
      <c r="S74" s="6">
        <f>IF(Q74=TRUE,R74,0)</f>
        <v>600</v>
      </c>
      <c r="T74" s="115"/>
    </row>
    <row r="75" spans="1:31">
      <c r="A75" s="6">
        <f t="shared" si="41"/>
        <v>-26</v>
      </c>
      <c r="B75" s="6">
        <f t="shared" si="39"/>
        <v>0</v>
      </c>
      <c r="C75" s="6">
        <v>75</v>
      </c>
      <c r="D75" s="6">
        <f t="shared" si="40"/>
        <v>0</v>
      </c>
      <c r="F75" s="6">
        <v>6</v>
      </c>
      <c r="G75" s="6" t="s">
        <v>117</v>
      </c>
      <c r="L75" s="57" t="s">
        <v>119</v>
      </c>
      <c r="P75" s="6">
        <v>4</v>
      </c>
      <c r="Q75" s="6" t="b">
        <f>AND('Simulazione 10.1'!$C$4&lt;=1000,'Simulazione 10.1'!$C$4&gt;500)</f>
        <v>0</v>
      </c>
      <c r="R75" s="6">
        <v>1600</v>
      </c>
      <c r="S75" s="6">
        <f>IF(Q75=TRUE,R75,0)</f>
        <v>0</v>
      </c>
      <c r="T75" s="115"/>
    </row>
    <row r="76" spans="1:31">
      <c r="A76" s="6">
        <f t="shared" si="41"/>
        <v>-25</v>
      </c>
      <c r="B76" s="6">
        <f t="shared" si="39"/>
        <v>0</v>
      </c>
      <c r="C76" s="6">
        <v>76</v>
      </c>
      <c r="D76" s="6">
        <f t="shared" si="40"/>
        <v>0</v>
      </c>
      <c r="G76" s="69">
        <v>4</v>
      </c>
      <c r="L76" s="6" t="b">
        <f>OR(G76=2,G76=3)</f>
        <v>0</v>
      </c>
      <c r="P76" s="6">
        <v>5</v>
      </c>
      <c r="Q76" s="6" t="b">
        <f>AND('Simulazione 10.1'!$C$4&gt;1000)</f>
        <v>0</v>
      </c>
      <c r="R76" s="6">
        <v>2600</v>
      </c>
      <c r="S76" s="6">
        <f>IF(Q76=TRUE,R76,0)</f>
        <v>0</v>
      </c>
      <c r="T76" s="115"/>
    </row>
    <row r="77" spans="1:31">
      <c r="A77" s="6">
        <f t="shared" si="41"/>
        <v>-24</v>
      </c>
      <c r="B77" s="6">
        <f t="shared" si="39"/>
        <v>0</v>
      </c>
      <c r="C77" s="6">
        <v>77</v>
      </c>
      <c r="D77" s="6">
        <f t="shared" si="40"/>
        <v>0</v>
      </c>
      <c r="L77" s="57" t="s">
        <v>120</v>
      </c>
      <c r="R77" s="6">
        <f>'Simulazione 10.1'!C4-'Simulazione 10.1'!C5</f>
        <v>-701</v>
      </c>
      <c r="S77" s="57">
        <f>SUM(S72:S76)</f>
        <v>600</v>
      </c>
    </row>
    <row r="78" spans="1:31">
      <c r="A78" s="6">
        <f t="shared" si="41"/>
        <v>-23</v>
      </c>
      <c r="B78" s="6">
        <f t="shared" si="39"/>
        <v>0</v>
      </c>
      <c r="C78" s="6">
        <v>78</v>
      </c>
      <c r="D78" s="6">
        <f t="shared" si="40"/>
        <v>0</v>
      </c>
      <c r="G78" s="6" t="s">
        <v>85</v>
      </c>
      <c r="I78" s="6">
        <f>'Simulazione 10.1'!C4*'Simulazione 10.1'!C43</f>
        <v>573850</v>
      </c>
      <c r="L78" s="6" t="b">
        <f>OR(G76=4,G76=5)</f>
        <v>1</v>
      </c>
    </row>
    <row r="79" spans="1:31">
      <c r="A79" s="6">
        <f t="shared" si="41"/>
        <v>-22</v>
      </c>
      <c r="B79" s="6">
        <f t="shared" si="39"/>
        <v>0</v>
      </c>
      <c r="C79" s="6">
        <v>79</v>
      </c>
      <c r="D79" s="6">
        <f t="shared" si="40"/>
        <v>0</v>
      </c>
      <c r="G79" s="6" t="s">
        <v>84</v>
      </c>
      <c r="I79" s="6">
        <f>IF(G76&gt;1,('Simulazione 10.1'!C43*'Simulazione 10.1'!C4)/100*'Simulazione 10.1'!$K$10,0)</f>
        <v>51646.5</v>
      </c>
    </row>
    <row r="80" spans="1:31">
      <c r="A80" s="6">
        <f t="shared" si="41"/>
        <v>-21</v>
      </c>
      <c r="B80" s="6">
        <f t="shared" si="39"/>
        <v>0</v>
      </c>
      <c r="C80" s="6">
        <v>80</v>
      </c>
      <c r="D80" s="6">
        <f t="shared" si="40"/>
        <v>0</v>
      </c>
    </row>
    <row r="81" spans="1:31">
      <c r="A81" s="6">
        <f t="shared" si="41"/>
        <v>-20</v>
      </c>
      <c r="B81" s="6">
        <f t="shared" si="39"/>
        <v>0</v>
      </c>
      <c r="C81" s="6">
        <v>81</v>
      </c>
      <c r="D81" s="6">
        <f t="shared" si="40"/>
        <v>0</v>
      </c>
      <c r="G81" s="77">
        <f>$I$78</f>
        <v>573850</v>
      </c>
      <c r="H81" s="77">
        <f>$I$78</f>
        <v>573850</v>
      </c>
      <c r="I81" s="77">
        <f>$I$78</f>
        <v>573850</v>
      </c>
      <c r="J81" s="77">
        <f t="shared" ref="J81:AE81" si="44">$I$78</f>
        <v>573850</v>
      </c>
      <c r="K81" s="77">
        <f t="shared" si="44"/>
        <v>573850</v>
      </c>
      <c r="L81" s="77">
        <f t="shared" si="44"/>
        <v>573850</v>
      </c>
      <c r="M81" s="77">
        <f t="shared" si="44"/>
        <v>573850</v>
      </c>
      <c r="N81" s="77">
        <f t="shared" si="44"/>
        <v>573850</v>
      </c>
      <c r="O81" s="77">
        <f t="shared" si="44"/>
        <v>573850</v>
      </c>
      <c r="P81" s="77">
        <f t="shared" si="44"/>
        <v>573850</v>
      </c>
      <c r="Q81" s="77">
        <f t="shared" si="44"/>
        <v>573850</v>
      </c>
      <c r="R81" s="77">
        <f t="shared" si="44"/>
        <v>573850</v>
      </c>
      <c r="S81" s="77">
        <f t="shared" si="44"/>
        <v>573850</v>
      </c>
      <c r="T81" s="77">
        <f t="shared" si="44"/>
        <v>573850</v>
      </c>
      <c r="U81" s="77">
        <f t="shared" si="44"/>
        <v>573850</v>
      </c>
      <c r="V81" s="77">
        <f t="shared" si="44"/>
        <v>573850</v>
      </c>
      <c r="W81" s="78">
        <f t="shared" si="44"/>
        <v>573850</v>
      </c>
      <c r="X81" s="77">
        <f t="shared" si="44"/>
        <v>573850</v>
      </c>
      <c r="Y81" s="77">
        <f t="shared" si="44"/>
        <v>573850</v>
      </c>
      <c r="Z81" s="77">
        <f t="shared" si="44"/>
        <v>573850</v>
      </c>
      <c r="AA81" s="77">
        <f t="shared" si="44"/>
        <v>573850</v>
      </c>
      <c r="AB81" s="77">
        <f t="shared" si="44"/>
        <v>573850</v>
      </c>
      <c r="AC81" s="77">
        <f t="shared" si="44"/>
        <v>573850</v>
      </c>
      <c r="AD81" s="77">
        <f t="shared" si="44"/>
        <v>573850</v>
      </c>
      <c r="AE81" s="77">
        <f t="shared" si="44"/>
        <v>573850</v>
      </c>
    </row>
    <row r="82" spans="1:31">
      <c r="A82" s="6">
        <f t="shared" si="41"/>
        <v>-19</v>
      </c>
      <c r="B82" s="6">
        <f t="shared" si="39"/>
        <v>0</v>
      </c>
      <c r="C82" s="6">
        <v>82</v>
      </c>
      <c r="D82" s="6">
        <f t="shared" si="40"/>
        <v>0</v>
      </c>
      <c r="G82" s="77">
        <f>$I$78/100*'Simulazione 10.1'!$K$10/2</f>
        <v>25823.25</v>
      </c>
      <c r="H82" s="77">
        <f>G82+$I$79</f>
        <v>77469.75</v>
      </c>
      <c r="I82" s="77">
        <f t="shared" ref="I82:Z82" si="45">H82+$I$79</f>
        <v>129116.25</v>
      </c>
      <c r="J82" s="77">
        <f t="shared" si="45"/>
        <v>180762.75</v>
      </c>
      <c r="K82" s="77">
        <f t="shared" si="45"/>
        <v>232409.25</v>
      </c>
      <c r="L82" s="77">
        <f t="shared" si="45"/>
        <v>284055.75</v>
      </c>
      <c r="M82" s="77">
        <f t="shared" si="45"/>
        <v>335702.25</v>
      </c>
      <c r="N82" s="77">
        <f t="shared" si="45"/>
        <v>387348.75</v>
      </c>
      <c r="O82" s="77">
        <f t="shared" si="45"/>
        <v>438995.25</v>
      </c>
      <c r="P82" s="77">
        <f t="shared" si="45"/>
        <v>490641.75</v>
      </c>
      <c r="Q82" s="77">
        <f t="shared" si="45"/>
        <v>542288.25</v>
      </c>
      <c r="R82" s="77">
        <f t="shared" si="45"/>
        <v>593934.75</v>
      </c>
      <c r="S82" s="77">
        <f t="shared" si="45"/>
        <v>645581.25</v>
      </c>
      <c r="T82" s="77">
        <f t="shared" si="45"/>
        <v>697227.75</v>
      </c>
      <c r="U82" s="77">
        <f t="shared" si="45"/>
        <v>748874.25</v>
      </c>
      <c r="V82" s="77">
        <f t="shared" si="45"/>
        <v>800520.75</v>
      </c>
      <c r="W82" s="78">
        <f t="shared" si="45"/>
        <v>852167.25</v>
      </c>
      <c r="X82" s="77">
        <f t="shared" si="45"/>
        <v>903813.75</v>
      </c>
      <c r="Y82" s="77">
        <f t="shared" si="45"/>
        <v>955460.25</v>
      </c>
      <c r="Z82" s="77">
        <f t="shared" si="45"/>
        <v>1007106.75</v>
      </c>
      <c r="AA82" s="77">
        <f t="shared" ref="AA82" si="46">Z82+$I$79</f>
        <v>1058753.25</v>
      </c>
      <c r="AB82" s="77">
        <f t="shared" ref="AB82" si="47">AA82+$I$79</f>
        <v>1110399.75</v>
      </c>
      <c r="AC82" s="77">
        <f t="shared" ref="AC82" si="48">AB82+$I$79</f>
        <v>1162046.25</v>
      </c>
      <c r="AD82" s="77">
        <f t="shared" ref="AD82" si="49">AC82+$I$79</f>
        <v>1213692.75</v>
      </c>
      <c r="AE82" s="77">
        <f t="shared" ref="AE82" si="50">AD82+$I$79</f>
        <v>1265339.25</v>
      </c>
    </row>
    <row r="83" spans="1:31">
      <c r="A83" s="6">
        <f t="shared" si="41"/>
        <v>-18</v>
      </c>
      <c r="B83" s="6">
        <f t="shared" si="39"/>
        <v>0</v>
      </c>
      <c r="C83" s="6">
        <v>83</v>
      </c>
      <c r="D83" s="6">
        <f t="shared" si="40"/>
        <v>0</v>
      </c>
      <c r="G83" s="77"/>
      <c r="H83" s="77"/>
      <c r="I83" s="77"/>
      <c r="J83" s="77"/>
      <c r="K83" s="77"/>
      <c r="L83" s="77"/>
      <c r="M83" s="77"/>
      <c r="N83" s="77"/>
      <c r="O83" s="77"/>
      <c r="P83" s="77"/>
      <c r="Q83" s="77"/>
      <c r="R83" s="77"/>
      <c r="S83" s="77"/>
      <c r="T83" s="77"/>
      <c r="U83" s="77"/>
      <c r="V83" s="77"/>
      <c r="W83" s="78"/>
      <c r="X83" s="77"/>
      <c r="Y83" s="77"/>
      <c r="Z83" s="77"/>
      <c r="AA83" s="77"/>
      <c r="AB83" s="77"/>
      <c r="AC83" s="77"/>
      <c r="AD83" s="77"/>
      <c r="AE83" s="77"/>
    </row>
    <row r="84" spans="1:31">
      <c r="A84" s="6">
        <f t="shared" si="41"/>
        <v>-17</v>
      </c>
      <c r="B84" s="6">
        <f t="shared" si="39"/>
        <v>0</v>
      </c>
      <c r="C84" s="6">
        <v>84</v>
      </c>
      <c r="D84" s="6">
        <f t="shared" si="40"/>
        <v>0</v>
      </c>
      <c r="G84" s="77"/>
      <c r="H84" s="77"/>
      <c r="I84" s="77"/>
      <c r="J84" s="77"/>
      <c r="K84" s="77"/>
      <c r="L84" s="77"/>
      <c r="M84" s="77"/>
      <c r="N84" s="77"/>
      <c r="O84" s="77"/>
      <c r="P84" s="77"/>
      <c r="Q84" s="77"/>
      <c r="R84" s="77"/>
      <c r="S84" s="77"/>
      <c r="T84" s="78"/>
      <c r="U84" s="77"/>
      <c r="V84" s="77"/>
      <c r="W84" s="78"/>
      <c r="X84" s="77"/>
      <c r="Y84" s="77"/>
      <c r="Z84" s="77"/>
      <c r="AA84" s="77"/>
      <c r="AB84" s="77"/>
      <c r="AC84" s="77"/>
      <c r="AD84" s="77"/>
      <c r="AE84" s="77"/>
    </row>
    <row r="85" spans="1:31">
      <c r="A85" s="6">
        <f t="shared" si="41"/>
        <v>-16</v>
      </c>
      <c r="B85" s="6">
        <f t="shared" si="39"/>
        <v>0</v>
      </c>
      <c r="C85" s="6">
        <v>85</v>
      </c>
      <c r="D85" s="6">
        <f t="shared" si="40"/>
        <v>0</v>
      </c>
      <c r="G85" s="77">
        <f>IF(G82&lt;G81,1,0)</f>
        <v>1</v>
      </c>
      <c r="H85" s="77">
        <f t="shared" ref="H85:Z85" si="51">IF(H82&lt;H81,1,0)</f>
        <v>1</v>
      </c>
      <c r="I85" s="77">
        <f t="shared" si="51"/>
        <v>1</v>
      </c>
      <c r="J85" s="77">
        <f t="shared" si="51"/>
        <v>1</v>
      </c>
      <c r="K85" s="77">
        <f t="shared" si="51"/>
        <v>1</v>
      </c>
      <c r="L85" s="77">
        <f t="shared" si="51"/>
        <v>1</v>
      </c>
      <c r="M85" s="77">
        <f t="shared" si="51"/>
        <v>1</v>
      </c>
      <c r="N85" s="77">
        <f t="shared" si="51"/>
        <v>1</v>
      </c>
      <c r="O85" s="77">
        <f t="shared" si="51"/>
        <v>1</v>
      </c>
      <c r="P85" s="77">
        <f t="shared" si="51"/>
        <v>1</v>
      </c>
      <c r="Q85" s="77">
        <f t="shared" si="51"/>
        <v>1</v>
      </c>
      <c r="R85" s="77">
        <f t="shared" si="51"/>
        <v>0</v>
      </c>
      <c r="S85" s="77">
        <f t="shared" si="51"/>
        <v>0</v>
      </c>
      <c r="T85" s="77">
        <f t="shared" si="51"/>
        <v>0</v>
      </c>
      <c r="U85" s="77">
        <f t="shared" si="51"/>
        <v>0</v>
      </c>
      <c r="V85" s="77">
        <f t="shared" si="51"/>
        <v>0</v>
      </c>
      <c r="W85" s="78">
        <f t="shared" si="51"/>
        <v>0</v>
      </c>
      <c r="X85" s="77">
        <f t="shared" si="51"/>
        <v>0</v>
      </c>
      <c r="Y85" s="77">
        <f t="shared" si="51"/>
        <v>0</v>
      </c>
      <c r="Z85" s="77">
        <f t="shared" si="51"/>
        <v>0</v>
      </c>
      <c r="AA85" s="77">
        <f t="shared" ref="AA85:AE85" si="52">IF(AA82&lt;AA81,1,0)</f>
        <v>0</v>
      </c>
      <c r="AB85" s="77">
        <f t="shared" si="52"/>
        <v>0</v>
      </c>
      <c r="AC85" s="77">
        <f t="shared" si="52"/>
        <v>0</v>
      </c>
      <c r="AD85" s="77">
        <f t="shared" si="52"/>
        <v>0</v>
      </c>
      <c r="AE85" s="77">
        <f t="shared" si="52"/>
        <v>0</v>
      </c>
    </row>
    <row r="86" spans="1:31">
      <c r="A86" s="6">
        <f t="shared" si="41"/>
        <v>-15</v>
      </c>
      <c r="B86" s="6">
        <f t="shared" si="39"/>
        <v>0</v>
      </c>
      <c r="C86" s="6">
        <v>86</v>
      </c>
      <c r="D86" s="6">
        <f t="shared" si="40"/>
        <v>0</v>
      </c>
      <c r="G86" s="77">
        <f>IF(Calcoli!$G$76&gt;1,Calcoli!$I$79/2,0)</f>
        <v>25823.25</v>
      </c>
      <c r="H86" s="77">
        <f>IF(Calcoli!$G$76&gt;1,Calcoli!$I$79,0)</f>
        <v>51646.5</v>
      </c>
      <c r="I86" s="77">
        <f>IF(Calcoli!$G$76&gt;1,Calcoli!$I$79,0)</f>
        <v>51646.5</v>
      </c>
      <c r="J86" s="77">
        <f>IF(Calcoli!$G$76&gt;1,Calcoli!$I$79,0)</f>
        <v>51646.5</v>
      </c>
      <c r="K86" s="77">
        <f>IF(Calcoli!$G$76&gt;1,Calcoli!$I$79,0)</f>
        <v>51646.5</v>
      </c>
      <c r="L86" s="77">
        <f>IF(Calcoli!$G$76&gt;1,Calcoli!$I$79,0)</f>
        <v>51646.5</v>
      </c>
      <c r="M86" s="77">
        <f>IF(Calcoli!$G$76&gt;1,Calcoli!$I$79,0)</f>
        <v>51646.5</v>
      </c>
      <c r="N86" s="77">
        <f>IF(Calcoli!$G$76&gt;1,Calcoli!$I$79,0)</f>
        <v>51646.5</v>
      </c>
      <c r="O86" s="77">
        <f>IF(Calcoli!$G$76&gt;1,Calcoli!$I$79,0)</f>
        <v>51646.5</v>
      </c>
      <c r="P86" s="77">
        <f>IF(Calcoli!$G$76&gt;1,Calcoli!$I$79,0)</f>
        <v>51646.5</v>
      </c>
      <c r="Q86" s="77">
        <f>IF(Calcoli!$G$76&gt;1,Calcoli!$I$79,0)</f>
        <v>51646.5</v>
      </c>
      <c r="R86" s="77">
        <f>IF(Calcoli!$G$76&gt;1,Calcoli!$I$79,0)</f>
        <v>51646.5</v>
      </c>
      <c r="S86" s="77">
        <f>IF(Calcoli!$G$76&gt;1,Calcoli!$I$79,0)</f>
        <v>51646.5</v>
      </c>
      <c r="T86" s="77">
        <f>IF(Calcoli!$G$76&gt;1,Calcoli!$I$79,0)</f>
        <v>51646.5</v>
      </c>
      <c r="U86" s="77">
        <f>IF(Calcoli!$G$76&gt;1,Calcoli!$I$79,0)</f>
        <v>51646.5</v>
      </c>
      <c r="V86" s="77">
        <f>IF(Calcoli!$G$76&gt;1,Calcoli!$I$79,0)</f>
        <v>51646.5</v>
      </c>
      <c r="W86" s="78">
        <f>IF(Calcoli!$G$76&gt;1,Calcoli!$I$79,0)</f>
        <v>51646.5</v>
      </c>
      <c r="X86" s="77">
        <f>IF(Calcoli!$G$76&gt;1,Calcoli!$I$79,0)</f>
        <v>51646.5</v>
      </c>
      <c r="Y86" s="77">
        <f>IF(Calcoli!$G$76&gt;1,Calcoli!$I$79,0)</f>
        <v>51646.5</v>
      </c>
      <c r="Z86" s="77">
        <f>IF(Calcoli!$G$76&gt;1,Calcoli!$I$79,0)</f>
        <v>51646.5</v>
      </c>
      <c r="AA86" s="77">
        <f>IF(Calcoli!$G$76&gt;1,Calcoli!$I$79,0)</f>
        <v>51646.5</v>
      </c>
      <c r="AB86" s="77">
        <f>IF(Calcoli!$G$76&gt;1,Calcoli!$I$79,0)</f>
        <v>51646.5</v>
      </c>
      <c r="AC86" s="77">
        <f>IF(Calcoli!$G$76&gt;1,Calcoli!$I$79,0)</f>
        <v>51646.5</v>
      </c>
      <c r="AD86" s="77">
        <f>IF(Calcoli!$G$76&gt;1,Calcoli!$I$79,0)</f>
        <v>51646.5</v>
      </c>
      <c r="AE86" s="77">
        <f>IF(Calcoli!$G$76&gt;1,Calcoli!$I$79,0)</f>
        <v>51646.5</v>
      </c>
    </row>
    <row r="87" spans="1:31" ht="10.5" customHeight="1">
      <c r="A87" s="6">
        <f t="shared" si="41"/>
        <v>-14</v>
      </c>
      <c r="B87" s="6">
        <f t="shared" si="39"/>
        <v>0</v>
      </c>
      <c r="C87" s="6">
        <v>87</v>
      </c>
      <c r="D87" s="6">
        <f t="shared" si="40"/>
        <v>0</v>
      </c>
      <c r="G87" s="77"/>
      <c r="H87" s="77"/>
      <c r="I87" s="77"/>
      <c r="J87" s="77"/>
      <c r="K87" s="77"/>
      <c r="L87" s="77"/>
      <c r="M87" s="77"/>
      <c r="N87" s="77"/>
      <c r="O87" s="77"/>
      <c r="P87" s="77"/>
      <c r="Q87" s="77"/>
      <c r="R87" s="77"/>
      <c r="S87" s="77"/>
      <c r="T87" s="78"/>
      <c r="U87" s="77"/>
      <c r="V87" s="77"/>
      <c r="W87" s="78"/>
      <c r="X87" s="77"/>
      <c r="Y87" s="77"/>
      <c r="Z87" s="77"/>
      <c r="AA87" s="77"/>
      <c r="AB87" s="77"/>
      <c r="AC87" s="77"/>
      <c r="AD87" s="77"/>
      <c r="AE87" s="77"/>
    </row>
    <row r="88" spans="1:31">
      <c r="A88" s="6">
        <f t="shared" si="41"/>
        <v>-13</v>
      </c>
      <c r="B88" s="6">
        <f t="shared" si="39"/>
        <v>0</v>
      </c>
      <c r="C88" s="6">
        <v>88</v>
      </c>
      <c r="D88" s="6">
        <f t="shared" si="40"/>
        <v>0</v>
      </c>
      <c r="G88" s="77">
        <f>IF(G85=1,G86,0)</f>
        <v>25823.25</v>
      </c>
      <c r="H88" s="77">
        <f>IF(H85=1,H86,$I$78-(G88))</f>
        <v>51646.5</v>
      </c>
      <c r="I88" s="77">
        <f>IF(I85=1,I86,$I$78-(H88+G88))</f>
        <v>51646.5</v>
      </c>
      <c r="J88" s="77">
        <f>IF(J85=1,J86,$I$78-(I88+H88+G88))</f>
        <v>51646.5</v>
      </c>
      <c r="K88" s="77">
        <f>IF(K85=1,K86,$I$78-(J88+I88+H88+G88))</f>
        <v>51646.5</v>
      </c>
      <c r="L88" s="77">
        <f>IF(L85=1,L86,$I$78-(K88+J88+I88+H88+G88))</f>
        <v>51646.5</v>
      </c>
      <c r="M88" s="77">
        <f>IF(M85=1,M86,$I$78-(L88+K88+J88+I88+H88+G88))</f>
        <v>51646.5</v>
      </c>
      <c r="N88" s="77">
        <f>IF(N85=1,N86,$I$78-(M88+L88+K88+J88+I88+H88+G88))</f>
        <v>51646.5</v>
      </c>
      <c r="O88" s="77">
        <f>IF(O85=1,O86,$I$78-(N88+M88+L88+K88+J88+I88+H88+G88))</f>
        <v>51646.5</v>
      </c>
      <c r="P88" s="77">
        <f>IF(P85=1,P86,$I$78-(O88+N88+M88+L88+K88+J88+I88+H88+G88))</f>
        <v>51646.5</v>
      </c>
      <c r="Q88" s="77">
        <f>IF(Q85=1,Q86,$I$78-(P88+O88+N88+M88+L88+K88+J88+I88+H88+G88))</f>
        <v>51646.5</v>
      </c>
      <c r="R88" s="77">
        <f>IF(R85=1,R86,$I$78-(Q88+P88+O88+N88+M88+L88+K88+J88+I88+H88+G88))</f>
        <v>31561.75</v>
      </c>
      <c r="S88" s="77">
        <f>IF(S85=1,S86,$I$78-(R88+Q88+P88+O88+N88+M88+L88+K88+J88+I88+H88+G88))</f>
        <v>0</v>
      </c>
      <c r="T88" s="77">
        <f>IF(T85=1,T86,$I$78-(S88+R88+Q88+P88+O88+N88+M88+L88+K88+J88+I88+H88+G88))</f>
        <v>0</v>
      </c>
      <c r="U88" s="77">
        <f>IF(U85=1,U86,$I$78-(T88+S88+R88+Q88+P88+O88+N88+M88+L88+K88+J88+I88+H88+G88))</f>
        <v>0</v>
      </c>
      <c r="V88" s="77">
        <f>IF(V85=1,V86,$I$78-(U88+T88+S88+R88+Q88+P88+O88+N88+M88+L88+K88+J88+I88+H88+G88))</f>
        <v>0</v>
      </c>
      <c r="W88" s="78">
        <f>IF(W85=1,W86,$I$78-(V88+U88+T88+S88+R88+Q88+P88+O88+N88+M88+L88+K88+J88+I88+H88+G88))</f>
        <v>0</v>
      </c>
      <c r="X88" s="77">
        <f>IF(X85=1,X86,$I$78-(W88+V88+U88+T88+S88+R88+Q88+P88+O88+N88+M88+L88+K88+J88+I88+H88+G88))</f>
        <v>0</v>
      </c>
      <c r="Y88" s="77">
        <f>IF(Y85=1,Y86,$I$78-(X88+W88+V88+U88+T88+S88+R88+Q88+P88+O88+N88+M88+L88+K88+J88+I88+H88+G88))</f>
        <v>0</v>
      </c>
      <c r="Z88" s="77">
        <f>IF(Z85=1,Z86,$I$78-(Y88+X88+W88+V88+U88+T88+S88+R88+Q88+P88+O88+N88+M88+L88+K88+J88+I88+H88+G88))</f>
        <v>0</v>
      </c>
      <c r="AA88" s="77">
        <f>IF(AA85=1,AA86,$I$78-(Z88+Y88+X88+W88+V88+U88+T88+S88+R88+Q88+P88+O88+N88+M88+L88+K88+J88+I88+H88+G88))</f>
        <v>0</v>
      </c>
      <c r="AB88" s="77">
        <f>IF(AB85=1,AB86,$I$78-(AA88+Z88+Y88+X88+W88+V88+U88+T88+S88+R88+Q88+P88+O88+N88+M88+L88+K88+J88+I88+H88+G88))</f>
        <v>0</v>
      </c>
      <c r="AC88" s="77">
        <f>IF(AC85=1,AC86,$I$78-(AB88+AA88+Z88+Y88+X88+W88+V88+U88+T88+S88+R88+Q88+P88+O88+N88+M88+L88+K88+J88+I88+H88+G88))</f>
        <v>0</v>
      </c>
      <c r="AD88" s="77">
        <f>IF(AD85=1,AD86,$I$78-(AC88+AB88+AA88+Z88+Y88+X88+W88+V88+U88+T88+S88+R88+Q88+P88+O88+N88+M88+L88+K88+J88+I88+H88+G88))</f>
        <v>0</v>
      </c>
      <c r="AE88" s="77">
        <f>IF(AE85=1,AE86,$I$78-(AD88+AC88+AB88+AA88+Z88+Y88+X88+W88+V88+U88+T88+S88+R88+Q88+P88+O88+N88+M88+L88+K88+J88+I88+H88+G88))</f>
        <v>0</v>
      </c>
    </row>
    <row r="89" spans="1:31">
      <c r="A89" s="6">
        <f t="shared" si="41"/>
        <v>-12</v>
      </c>
      <c r="B89" s="6">
        <f t="shared" si="39"/>
        <v>0</v>
      </c>
      <c r="C89" s="6">
        <v>89</v>
      </c>
      <c r="D89" s="6">
        <f t="shared" si="40"/>
        <v>0</v>
      </c>
    </row>
    <row r="90" spans="1:31">
      <c r="A90" s="6">
        <f t="shared" si="41"/>
        <v>-11</v>
      </c>
      <c r="B90" s="6">
        <f t="shared" si="39"/>
        <v>0</v>
      </c>
      <c r="C90" s="6">
        <v>90</v>
      </c>
      <c r="D90" s="6">
        <f t="shared" si="40"/>
        <v>0</v>
      </c>
      <c r="Q90" s="77"/>
      <c r="R90" s="77"/>
    </row>
    <row r="91" spans="1:31">
      <c r="A91" s="6">
        <f t="shared" si="41"/>
        <v>-10</v>
      </c>
      <c r="B91" s="6">
        <f t="shared" si="39"/>
        <v>0</v>
      </c>
      <c r="C91" s="6">
        <v>91</v>
      </c>
      <c r="D91" s="6">
        <f t="shared" si="40"/>
        <v>0</v>
      </c>
      <c r="I91" s="77"/>
    </row>
    <row r="92" spans="1:31">
      <c r="A92" s="6">
        <f t="shared" si="41"/>
        <v>-9</v>
      </c>
      <c r="B92" s="6">
        <f t="shared" si="39"/>
        <v>0</v>
      </c>
      <c r="C92" s="6">
        <v>92</v>
      </c>
      <c r="D92" s="6">
        <f t="shared" si="40"/>
        <v>0</v>
      </c>
      <c r="G92" s="77">
        <f>'Simulazione 10.1'!E86</f>
        <v>0</v>
      </c>
      <c r="H92" s="77">
        <f>'Simulazione 10.1'!F86</f>
        <v>0</v>
      </c>
      <c r="I92" s="77">
        <f>'Simulazione 10.1'!G86</f>
        <v>0</v>
      </c>
      <c r="J92" s="77">
        <f>'Simulazione 10.1'!H86</f>
        <v>0</v>
      </c>
      <c r="K92" s="77">
        <f>'Simulazione 10.1'!I86</f>
        <v>0</v>
      </c>
      <c r="L92" s="77">
        <f>'Simulazione 10.1'!J86</f>
        <v>0</v>
      </c>
      <c r="M92" s="77">
        <f>'Simulazione 10.1'!K86</f>
        <v>0</v>
      </c>
      <c r="N92" s="77">
        <f>'Simulazione 10.1'!L86</f>
        <v>0</v>
      </c>
      <c r="O92" s="77">
        <f>'Simulazione 10.1'!M86</f>
        <v>0</v>
      </c>
      <c r="P92" s="77">
        <f>'Simulazione 10.1'!N86</f>
        <v>0</v>
      </c>
      <c r="Q92" s="77">
        <f>'Simulazione 10.1'!O86</f>
        <v>0</v>
      </c>
      <c r="R92" s="77">
        <f>'Simulazione 10.1'!P86</f>
        <v>0</v>
      </c>
      <c r="S92" s="77">
        <f>'Simulazione 10.1'!Q86</f>
        <v>17377.875363995881</v>
      </c>
      <c r="T92" s="77">
        <f>'Simulazione 10.1'!R86</f>
        <v>17140.474485719918</v>
      </c>
      <c r="U92" s="77">
        <f>'Simulazione 10.1'!S86</f>
        <v>16905.210215348441</v>
      </c>
      <c r="V92" s="77">
        <f>'Simulazione 10.1'!T86</f>
        <v>16672.063323410304</v>
      </c>
      <c r="W92" s="78">
        <f>'Simulazione 10.1'!U86</f>
        <v>16441.014753499614</v>
      </c>
      <c r="X92" s="77">
        <f>'Simulazione 10.1'!V86</f>
        <v>16212.045620718109</v>
      </c>
      <c r="Y92" s="77">
        <f>'Simulazione 10.1'!W86</f>
        <v>15985.137210131648</v>
      </c>
      <c r="Z92" s="77">
        <f>'Simulazione 10.1'!X86</f>
        <v>15760.270975240459</v>
      </c>
      <c r="AA92" s="77">
        <f>'Simulazione 10.1'!Y86</f>
        <v>0</v>
      </c>
      <c r="AB92" s="77">
        <f>'Simulazione 10.1'!Z86</f>
        <v>0</v>
      </c>
      <c r="AC92" s="77">
        <f>'Simulazione 10.1'!AA86</f>
        <v>0</v>
      </c>
      <c r="AD92" s="77">
        <f>'Simulazione 10.1'!AB86</f>
        <v>0</v>
      </c>
      <c r="AE92" s="77">
        <f>'Simulazione 10.1'!AC86</f>
        <v>0</v>
      </c>
    </row>
    <row r="93" spans="1:31">
      <c r="A93" s="6">
        <f t="shared" si="41"/>
        <v>-8</v>
      </c>
      <c r="B93" s="6">
        <f t="shared" si="39"/>
        <v>0</v>
      </c>
      <c r="C93" s="6">
        <v>93</v>
      </c>
      <c r="D93" s="6">
        <f t="shared" si="40"/>
        <v>0</v>
      </c>
      <c r="G93" s="77"/>
      <c r="H93" s="77"/>
      <c r="I93" s="77"/>
      <c r="J93" s="77"/>
      <c r="K93" s="77"/>
      <c r="L93" s="77"/>
      <c r="M93" s="77"/>
      <c r="N93" s="77"/>
      <c r="O93" s="77"/>
      <c r="P93" s="77"/>
      <c r="Q93" s="77"/>
      <c r="R93" s="77"/>
      <c r="S93" s="77"/>
      <c r="T93" s="77"/>
      <c r="U93" s="77"/>
      <c r="V93" s="77"/>
      <c r="W93" s="78"/>
      <c r="X93" s="77"/>
      <c r="Y93" s="77"/>
      <c r="Z93" s="77"/>
      <c r="AA93" s="77"/>
      <c r="AB93" s="77"/>
      <c r="AC93" s="77"/>
      <c r="AD93" s="77"/>
      <c r="AE93" s="77"/>
    </row>
    <row r="94" spans="1:31">
      <c r="A94" s="6">
        <f t="shared" si="41"/>
        <v>-7</v>
      </c>
      <c r="B94" s="6">
        <f t="shared" si="39"/>
        <v>0</v>
      </c>
      <c r="C94" s="6">
        <v>94</v>
      </c>
      <c r="D94" s="6">
        <f t="shared" si="40"/>
        <v>0</v>
      </c>
      <c r="G94" s="78" t="b">
        <f>AND(G92&lt;15000)</f>
        <v>1</v>
      </c>
      <c r="H94" s="78" t="b">
        <f t="shared" ref="H94:Z94" si="53">AND(H92&lt;15000)</f>
        <v>1</v>
      </c>
      <c r="I94" s="78" t="b">
        <f t="shared" si="53"/>
        <v>1</v>
      </c>
      <c r="J94" s="78" t="b">
        <f t="shared" si="53"/>
        <v>1</v>
      </c>
      <c r="K94" s="78" t="b">
        <f t="shared" si="53"/>
        <v>1</v>
      </c>
      <c r="L94" s="78" t="b">
        <f t="shared" si="53"/>
        <v>1</v>
      </c>
      <c r="M94" s="78" t="b">
        <f t="shared" si="53"/>
        <v>1</v>
      </c>
      <c r="N94" s="78" t="b">
        <f t="shared" si="53"/>
        <v>1</v>
      </c>
      <c r="O94" s="78" t="b">
        <f t="shared" si="53"/>
        <v>1</v>
      </c>
      <c r="P94" s="78" t="b">
        <f t="shared" si="53"/>
        <v>1</v>
      </c>
      <c r="Q94" s="78" t="b">
        <f t="shared" si="53"/>
        <v>1</v>
      </c>
      <c r="R94" s="78" t="b">
        <f t="shared" si="53"/>
        <v>1</v>
      </c>
      <c r="S94" s="78" t="b">
        <f t="shared" si="53"/>
        <v>0</v>
      </c>
      <c r="T94" s="78" t="b">
        <f t="shared" si="53"/>
        <v>0</v>
      </c>
      <c r="U94" s="78" t="b">
        <f t="shared" si="53"/>
        <v>0</v>
      </c>
      <c r="V94" s="78" t="b">
        <f t="shared" si="53"/>
        <v>0</v>
      </c>
      <c r="W94" s="78" t="b">
        <f t="shared" si="53"/>
        <v>0</v>
      </c>
      <c r="X94" s="78" t="b">
        <f t="shared" si="53"/>
        <v>0</v>
      </c>
      <c r="Y94" s="78" t="b">
        <f t="shared" si="53"/>
        <v>0</v>
      </c>
      <c r="Z94" s="78" t="b">
        <f t="shared" si="53"/>
        <v>0</v>
      </c>
      <c r="AA94" s="78" t="b">
        <f t="shared" ref="AA94:AE94" si="54">AND(AA92&lt;15000)</f>
        <v>1</v>
      </c>
      <c r="AB94" s="78" t="b">
        <f t="shared" si="54"/>
        <v>1</v>
      </c>
      <c r="AC94" s="78" t="b">
        <f t="shared" si="54"/>
        <v>1</v>
      </c>
      <c r="AD94" s="78" t="b">
        <f t="shared" si="54"/>
        <v>1</v>
      </c>
      <c r="AE94" s="78" t="b">
        <f t="shared" si="54"/>
        <v>1</v>
      </c>
    </row>
    <row r="95" spans="1:31">
      <c r="A95" s="6">
        <f t="shared" si="41"/>
        <v>-6</v>
      </c>
      <c r="B95" s="6">
        <f t="shared" si="39"/>
        <v>0</v>
      </c>
      <c r="C95" s="6">
        <v>95</v>
      </c>
      <c r="D95" s="6">
        <f t="shared" si="40"/>
        <v>0</v>
      </c>
      <c r="G95" s="78">
        <f>IF(G94=TRUE,G92/100*'Simulazione 10.1'!$L$13,0)</f>
        <v>0</v>
      </c>
      <c r="H95" s="78">
        <f>IF(H94=TRUE,H92/100*'Simulazione 10.1'!$L$13,0)</f>
        <v>0</v>
      </c>
      <c r="I95" s="78">
        <f>IF(I94=TRUE,I92/100*'Simulazione 10.1'!$L$13,0)</f>
        <v>0</v>
      </c>
      <c r="J95" s="78">
        <f>IF(J94=TRUE,J92/100*'Simulazione 10.1'!$L$13,0)</f>
        <v>0</v>
      </c>
      <c r="K95" s="78">
        <f>IF(K94=TRUE,K92/100*'Simulazione 10.1'!$L$13,0)</f>
        <v>0</v>
      </c>
      <c r="L95" s="78">
        <f>IF(L94=TRUE,L92/100*'Simulazione 10.1'!$L$13,0)</f>
        <v>0</v>
      </c>
      <c r="M95" s="78">
        <f>IF(M94=TRUE,M92/100*'Simulazione 10.1'!$L$13,0)</f>
        <v>0</v>
      </c>
      <c r="N95" s="78">
        <f>IF(N94=TRUE,N92/100*'Simulazione 10.1'!$L$13,0)</f>
        <v>0</v>
      </c>
      <c r="O95" s="78">
        <f>IF(O94=TRUE,O92/100*'Simulazione 10.1'!$L$13,0)</f>
        <v>0</v>
      </c>
      <c r="P95" s="78">
        <f>IF(P94=TRUE,P92/100*'Simulazione 10.1'!$L$13,0)</f>
        <v>0</v>
      </c>
      <c r="Q95" s="78">
        <f>IF(Q94=TRUE,Q92/100*'Simulazione 10.1'!$L$13,0)</f>
        <v>0</v>
      </c>
      <c r="R95" s="78">
        <f>IF(R94=TRUE,R92/100*'Simulazione 10.1'!$L$13,0)</f>
        <v>0</v>
      </c>
      <c r="S95" s="78">
        <f>IF(S94=TRUE,S92/100*'Simulazione 10.1'!$L$13,0)</f>
        <v>0</v>
      </c>
      <c r="T95" s="78">
        <f>IF(T94=TRUE,T92/100*'Simulazione 10.1'!$L$13,0)</f>
        <v>0</v>
      </c>
      <c r="U95" s="78">
        <f>IF(U94=TRUE,U92/100*'Simulazione 10.1'!$L$13,0)</f>
        <v>0</v>
      </c>
      <c r="V95" s="78">
        <f>IF(V94=TRUE,V92/100*'Simulazione 10.1'!$L$13,0)</f>
        <v>0</v>
      </c>
      <c r="W95" s="78">
        <f>IF(W94=TRUE,W92/100*'Simulazione 10.1'!$L$13,0)</f>
        <v>0</v>
      </c>
      <c r="X95" s="78">
        <f>IF(X94=TRUE,X92/100*'Simulazione 10.1'!$L$13,0)</f>
        <v>0</v>
      </c>
      <c r="Y95" s="78">
        <f>IF(Y94=TRUE,Y92/100*'Simulazione 10.1'!$L$13,0)</f>
        <v>0</v>
      </c>
      <c r="Z95" s="78">
        <f>IF(Z94=TRUE,Z92/100*'Simulazione 10.1'!$L$13,0)</f>
        <v>0</v>
      </c>
      <c r="AA95" s="78">
        <f>IF(AA94=TRUE,AA92/100*'Simulazione 10.1'!$L$13,0)</f>
        <v>0</v>
      </c>
      <c r="AB95" s="78">
        <f>IF(AB94=TRUE,AB92/100*'Simulazione 10.1'!$L$13,0)</f>
        <v>0</v>
      </c>
      <c r="AC95" s="78">
        <f>IF(AC94=TRUE,AC92/100*'Simulazione 10.1'!$L$13,0)</f>
        <v>0</v>
      </c>
      <c r="AD95" s="78">
        <f>IF(AD94=TRUE,AD92/100*'Simulazione 10.1'!$L$13,0)</f>
        <v>0</v>
      </c>
      <c r="AE95" s="78">
        <f>IF(AE94=TRUE,AE92/100*'Simulazione 10.1'!$L$13,0)</f>
        <v>0</v>
      </c>
    </row>
    <row r="96" spans="1:31">
      <c r="A96" s="6">
        <f t="shared" si="41"/>
        <v>-5</v>
      </c>
      <c r="B96" s="6">
        <f t="shared" si="39"/>
        <v>0</v>
      </c>
      <c r="C96" s="6">
        <v>96</v>
      </c>
      <c r="D96" s="6">
        <f t="shared" si="40"/>
        <v>0</v>
      </c>
      <c r="G96" s="77"/>
      <c r="H96" s="77"/>
      <c r="I96" s="77"/>
      <c r="J96" s="77"/>
      <c r="K96" s="77"/>
      <c r="L96" s="77"/>
      <c r="M96" s="77"/>
      <c r="N96" s="77"/>
      <c r="O96" s="77"/>
      <c r="P96" s="77"/>
      <c r="Q96" s="77"/>
      <c r="R96" s="77"/>
      <c r="S96" s="77"/>
      <c r="T96" s="77"/>
      <c r="U96" s="77"/>
      <c r="V96" s="77"/>
      <c r="W96" s="78"/>
      <c r="X96" s="77"/>
      <c r="Y96" s="77"/>
      <c r="Z96" s="77"/>
      <c r="AA96" s="77"/>
      <c r="AB96" s="77"/>
      <c r="AC96" s="77"/>
      <c r="AD96" s="77"/>
      <c r="AE96" s="77"/>
    </row>
    <row r="97" spans="1:31">
      <c r="A97" s="6">
        <f t="shared" si="41"/>
        <v>-4</v>
      </c>
      <c r="B97" s="6">
        <f t="shared" si="39"/>
        <v>0</v>
      </c>
      <c r="C97" s="6">
        <v>97</v>
      </c>
      <c r="D97" s="6">
        <f t="shared" si="40"/>
        <v>0</v>
      </c>
      <c r="G97" s="78" t="b">
        <f>AND(G92&lt;28001,G92&gt;15000)</f>
        <v>0</v>
      </c>
      <c r="H97" s="78" t="b">
        <f t="shared" ref="H97:Z97" si="55">AND(H92&lt;28001,H92&gt;15000)</f>
        <v>0</v>
      </c>
      <c r="I97" s="78" t="b">
        <f t="shared" si="55"/>
        <v>0</v>
      </c>
      <c r="J97" s="78" t="b">
        <f t="shared" si="55"/>
        <v>0</v>
      </c>
      <c r="K97" s="78" t="b">
        <f t="shared" si="55"/>
        <v>0</v>
      </c>
      <c r="L97" s="78" t="b">
        <f t="shared" si="55"/>
        <v>0</v>
      </c>
      <c r="M97" s="78" t="b">
        <f t="shared" si="55"/>
        <v>0</v>
      </c>
      <c r="N97" s="78" t="b">
        <f t="shared" si="55"/>
        <v>0</v>
      </c>
      <c r="O97" s="78" t="b">
        <f t="shared" si="55"/>
        <v>0</v>
      </c>
      <c r="P97" s="78" t="b">
        <f t="shared" si="55"/>
        <v>0</v>
      </c>
      <c r="Q97" s="78" t="b">
        <f t="shared" si="55"/>
        <v>0</v>
      </c>
      <c r="R97" s="78" t="b">
        <f t="shared" si="55"/>
        <v>0</v>
      </c>
      <c r="S97" s="78" t="b">
        <f t="shared" si="55"/>
        <v>1</v>
      </c>
      <c r="T97" s="78" t="b">
        <f t="shared" si="55"/>
        <v>1</v>
      </c>
      <c r="U97" s="78" t="b">
        <f t="shared" si="55"/>
        <v>1</v>
      </c>
      <c r="V97" s="78" t="b">
        <f t="shared" si="55"/>
        <v>1</v>
      </c>
      <c r="W97" s="78" t="b">
        <f t="shared" si="55"/>
        <v>1</v>
      </c>
      <c r="X97" s="78" t="b">
        <f t="shared" si="55"/>
        <v>1</v>
      </c>
      <c r="Y97" s="78" t="b">
        <f t="shared" si="55"/>
        <v>1</v>
      </c>
      <c r="Z97" s="78" t="b">
        <f t="shared" si="55"/>
        <v>1</v>
      </c>
      <c r="AA97" s="78" t="b">
        <f t="shared" ref="AA97:AE97" si="56">AND(AA92&lt;28001,AA92&gt;15000)</f>
        <v>0</v>
      </c>
      <c r="AB97" s="78" t="b">
        <f t="shared" si="56"/>
        <v>0</v>
      </c>
      <c r="AC97" s="78" t="b">
        <f t="shared" si="56"/>
        <v>0</v>
      </c>
      <c r="AD97" s="78" t="b">
        <f t="shared" si="56"/>
        <v>0</v>
      </c>
      <c r="AE97" s="78" t="b">
        <f t="shared" si="56"/>
        <v>0</v>
      </c>
    </row>
    <row r="98" spans="1:31">
      <c r="A98" s="6">
        <f t="shared" si="41"/>
        <v>-3</v>
      </c>
      <c r="B98" s="6">
        <f t="shared" si="39"/>
        <v>0</v>
      </c>
      <c r="C98" s="6">
        <v>98</v>
      </c>
      <c r="D98" s="6">
        <f t="shared" si="40"/>
        <v>0</v>
      </c>
      <c r="G98" s="78">
        <f>IF(G97=TRUE,3450+((G92-15000)/100*'Simulazione 10.1'!$L$14),0)</f>
        <v>0</v>
      </c>
      <c r="H98" s="78">
        <f>IF(H97=TRUE,3450+((H92-15000)/100*'Simulazione 10.1'!$L$14),0)</f>
        <v>0</v>
      </c>
      <c r="I98" s="78">
        <f>IF(I97=TRUE,3450+((I92-15000)/100*'Simulazione 10.1'!$L$14),0)</f>
        <v>0</v>
      </c>
      <c r="J98" s="78">
        <f>IF(J97=TRUE,3450+((J92-15000)/100*'Simulazione 10.1'!$L$14),0)</f>
        <v>0</v>
      </c>
      <c r="K98" s="78">
        <f>IF(K97=TRUE,3450+((K92-15000)/100*'Simulazione 10.1'!$L$14),0)</f>
        <v>0</v>
      </c>
      <c r="L98" s="78">
        <f>IF(L97=TRUE,3450+((L92-15000)/100*'Simulazione 10.1'!$L$14),0)</f>
        <v>0</v>
      </c>
      <c r="M98" s="78">
        <f>IF(M97=TRUE,3450+((M92-15000)/100*'Simulazione 10.1'!$L$14),0)</f>
        <v>0</v>
      </c>
      <c r="N98" s="78">
        <f>IF(N97=TRUE,3450+((N92-15000)/100*'Simulazione 10.1'!$L$14),0)</f>
        <v>0</v>
      </c>
      <c r="O98" s="78">
        <f>IF(O97=TRUE,3450+((O92-15000)/100*'Simulazione 10.1'!$L$14),0)</f>
        <v>0</v>
      </c>
      <c r="P98" s="78">
        <f>IF(P97=TRUE,3450+((P92-15000)/100*'Simulazione 10.1'!$L$14),0)</f>
        <v>0</v>
      </c>
      <c r="Q98" s="78">
        <f>IF(Q97=TRUE,3450+((Q92-15000)/100*'Simulazione 10.1'!$L$14),0)</f>
        <v>0</v>
      </c>
      <c r="R98" s="78">
        <f>IF(R97=TRUE,3450+((R92-15000)/100*'Simulazione 10.1'!$L$14),0)</f>
        <v>0</v>
      </c>
      <c r="S98" s="78">
        <f>IF(S97=TRUE,3450+((S92-15000)/100*'Simulazione 10.1'!$L$14),0)</f>
        <v>4092.0263482788878</v>
      </c>
      <c r="T98" s="78">
        <f>IF(T97=TRUE,3450+((T92-15000)/100*'Simulazione 10.1'!$L$14),0)</f>
        <v>4027.9281111443779</v>
      </c>
      <c r="U98" s="78">
        <f>IF(U97=TRUE,3450+((U92-15000)/100*'Simulazione 10.1'!$L$14),0)</f>
        <v>3964.406758144079</v>
      </c>
      <c r="V98" s="78">
        <f>IF(V97=TRUE,3450+((V92-15000)/100*'Simulazione 10.1'!$L$14),0)</f>
        <v>3901.4570973207819</v>
      </c>
      <c r="W98" s="78">
        <f>IF(W97=TRUE,3450+((W92-15000)/100*'Simulazione 10.1'!$L$14),0)</f>
        <v>3839.0739834448959</v>
      </c>
      <c r="X98" s="78">
        <f>IF(X97=TRUE,3450+((X92-15000)/100*'Simulazione 10.1'!$L$14),0)</f>
        <v>3777.2523175938895</v>
      </c>
      <c r="Y98" s="78">
        <f>IF(Y97=TRUE,3450+((Y92-15000)/100*'Simulazione 10.1'!$L$14),0)</f>
        <v>3715.9870467355449</v>
      </c>
      <c r="Z98" s="78">
        <f>IF(Z97=TRUE,3450+((Z92-15000)/100*'Simulazione 10.1'!$L$14),0)</f>
        <v>3655.2731633149237</v>
      </c>
      <c r="AA98" s="78">
        <f>IF(AA97=TRUE,3450+((AA92-15000)/100*'Simulazione 10.1'!$L$14),0)</f>
        <v>0</v>
      </c>
      <c r="AB98" s="78">
        <f>IF(AB97=TRUE,3450+((AB92-15000)/100*'Simulazione 10.1'!$L$14),0)</f>
        <v>0</v>
      </c>
      <c r="AC98" s="78">
        <f>IF(AC97=TRUE,3450+((AC92-15000)/100*'Simulazione 10.1'!$L$14),0)</f>
        <v>0</v>
      </c>
      <c r="AD98" s="78">
        <f>IF(AD97=TRUE,3450+((AD92-15000)/100*'Simulazione 10.1'!$L$14),0)</f>
        <v>0</v>
      </c>
      <c r="AE98" s="78">
        <f>IF(AE97=TRUE,3450+((AE92-15000)/100*'Simulazione 10.1'!$L$14),0)</f>
        <v>0</v>
      </c>
    </row>
    <row r="99" spans="1:31">
      <c r="A99" s="6">
        <f t="shared" si="41"/>
        <v>-2</v>
      </c>
      <c r="B99" s="6">
        <f t="shared" si="39"/>
        <v>0</v>
      </c>
      <c r="C99" s="6">
        <v>99</v>
      </c>
      <c r="D99" s="6">
        <f t="shared" si="40"/>
        <v>0</v>
      </c>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row>
    <row r="100" spans="1:31">
      <c r="A100" s="6">
        <f t="shared" si="41"/>
        <v>-1</v>
      </c>
      <c r="B100" s="6">
        <f t="shared" si="39"/>
        <v>0</v>
      </c>
      <c r="C100" s="6">
        <v>100</v>
      </c>
      <c r="D100" s="6">
        <f t="shared" si="40"/>
        <v>0</v>
      </c>
      <c r="G100" s="78" t="b">
        <f>AND(G92&lt;55001,G92&gt;28000)</f>
        <v>0</v>
      </c>
      <c r="H100" s="78" t="b">
        <f t="shared" ref="H100:Z100" si="57">AND(H92&lt;55001,H92&gt;28000)</f>
        <v>0</v>
      </c>
      <c r="I100" s="78" t="b">
        <f t="shared" si="57"/>
        <v>0</v>
      </c>
      <c r="J100" s="78" t="b">
        <f t="shared" si="57"/>
        <v>0</v>
      </c>
      <c r="K100" s="78" t="b">
        <f t="shared" si="57"/>
        <v>0</v>
      </c>
      <c r="L100" s="78" t="b">
        <f t="shared" si="57"/>
        <v>0</v>
      </c>
      <c r="M100" s="78" t="b">
        <f t="shared" si="57"/>
        <v>0</v>
      </c>
      <c r="N100" s="78" t="b">
        <f t="shared" si="57"/>
        <v>0</v>
      </c>
      <c r="O100" s="78" t="b">
        <f t="shared" si="57"/>
        <v>0</v>
      </c>
      <c r="P100" s="78" t="b">
        <f t="shared" si="57"/>
        <v>0</v>
      </c>
      <c r="Q100" s="78" t="b">
        <f t="shared" si="57"/>
        <v>0</v>
      </c>
      <c r="R100" s="78" t="b">
        <f t="shared" si="57"/>
        <v>0</v>
      </c>
      <c r="S100" s="78" t="b">
        <f t="shared" si="57"/>
        <v>0</v>
      </c>
      <c r="T100" s="78" t="b">
        <f t="shared" si="57"/>
        <v>0</v>
      </c>
      <c r="U100" s="78" t="b">
        <f t="shared" si="57"/>
        <v>0</v>
      </c>
      <c r="V100" s="78" t="b">
        <f t="shared" si="57"/>
        <v>0</v>
      </c>
      <c r="W100" s="78" t="b">
        <f t="shared" si="57"/>
        <v>0</v>
      </c>
      <c r="X100" s="78" t="b">
        <f t="shared" si="57"/>
        <v>0</v>
      </c>
      <c r="Y100" s="78" t="b">
        <f t="shared" si="57"/>
        <v>0</v>
      </c>
      <c r="Z100" s="78" t="b">
        <f t="shared" si="57"/>
        <v>0</v>
      </c>
      <c r="AA100" s="78" t="b">
        <f t="shared" ref="AA100:AE100" si="58">AND(AA92&lt;55001,AA92&gt;28000)</f>
        <v>0</v>
      </c>
      <c r="AB100" s="78" t="b">
        <f t="shared" si="58"/>
        <v>0</v>
      </c>
      <c r="AC100" s="78" t="b">
        <f t="shared" si="58"/>
        <v>0</v>
      </c>
      <c r="AD100" s="78" t="b">
        <f t="shared" si="58"/>
        <v>0</v>
      </c>
      <c r="AE100" s="78" t="b">
        <f t="shared" si="58"/>
        <v>0</v>
      </c>
    </row>
    <row r="101" spans="1:31">
      <c r="A101" s="6">
        <f t="shared" si="41"/>
        <v>0</v>
      </c>
      <c r="B101" s="6">
        <f t="shared" si="39"/>
        <v>0</v>
      </c>
      <c r="C101" s="6">
        <v>101</v>
      </c>
      <c r="D101" s="6">
        <f t="shared" si="40"/>
        <v>0</v>
      </c>
      <c r="G101" s="78">
        <f>IF(G100=TRUE,6960+((G92-28000)/100*'Simulazione 10.1'!$L$15),0)</f>
        <v>0</v>
      </c>
      <c r="H101" s="78">
        <f>IF(H100=TRUE,6960+((H92-28000)/100*'Simulazione 10.1'!$L$15),0)</f>
        <v>0</v>
      </c>
      <c r="I101" s="78">
        <f>IF(I100=TRUE,6960+((I92-28000)/100*'Simulazione 10.1'!$L$15),0)</f>
        <v>0</v>
      </c>
      <c r="J101" s="78">
        <f>IF(J100=TRUE,6960+((J92-28000)/100*'Simulazione 10.1'!$L$15),0)</f>
        <v>0</v>
      </c>
      <c r="K101" s="78">
        <f>IF(K100=TRUE,6960+((K92-28000)/100*'Simulazione 10.1'!$L$15),0)</f>
        <v>0</v>
      </c>
      <c r="L101" s="78">
        <f>IF(L100=TRUE,6960+((L92-28000)/100*'Simulazione 10.1'!$L$15),0)</f>
        <v>0</v>
      </c>
      <c r="M101" s="78">
        <f>IF(M100=TRUE,6960+((M92-28000)/100*'Simulazione 10.1'!$L$15),0)</f>
        <v>0</v>
      </c>
      <c r="N101" s="78">
        <f>IF(N100=TRUE,6960+((N92-28000)/100*'Simulazione 10.1'!$L$15),0)</f>
        <v>0</v>
      </c>
      <c r="O101" s="78">
        <f>IF(O100=TRUE,6960+((O92-28000)/100*'Simulazione 10.1'!$L$15),0)</f>
        <v>0</v>
      </c>
      <c r="P101" s="78">
        <f>IF(P100=TRUE,6960+((P92-28000)/100*'Simulazione 10.1'!$L$15),0)</f>
        <v>0</v>
      </c>
      <c r="Q101" s="78">
        <f>IF(Q100=TRUE,6960+((Q92-28000)/100*'Simulazione 10.1'!$L$15),0)</f>
        <v>0</v>
      </c>
      <c r="R101" s="78">
        <f>IF(R100=TRUE,6960+((R92-28000)/100*'Simulazione 10.1'!$L$15),0)</f>
        <v>0</v>
      </c>
      <c r="S101" s="78">
        <f>IF(S100=TRUE,6960+((S92-28000)/100*'Simulazione 10.1'!$L$15),0)</f>
        <v>0</v>
      </c>
      <c r="T101" s="78">
        <f>IF(T100=TRUE,6960+((T92-28000)/100*'Simulazione 10.1'!$L$15),0)</f>
        <v>0</v>
      </c>
      <c r="U101" s="78">
        <f>IF(U100=TRUE,6960+((U92-28000)/100*'Simulazione 10.1'!$L$15),0)</f>
        <v>0</v>
      </c>
      <c r="V101" s="78">
        <f>IF(V100=TRUE,6960+((V92-28000)/100*'Simulazione 10.1'!$L$15),0)</f>
        <v>0</v>
      </c>
      <c r="W101" s="78">
        <f>IF(W100=TRUE,6960+((W92-28000)/100*'Simulazione 10.1'!$L$15),0)</f>
        <v>0</v>
      </c>
      <c r="X101" s="78">
        <f>IF(X100=TRUE,6960+((X92-28000)/100*'Simulazione 10.1'!$L$15),0)</f>
        <v>0</v>
      </c>
      <c r="Y101" s="78">
        <f>IF(Y100=TRUE,6960+((Y92-28000)/100*'Simulazione 10.1'!$L$15),0)</f>
        <v>0</v>
      </c>
      <c r="Z101" s="78">
        <f>IF(Z100=TRUE,6960+((Z92-28000)/100*'Simulazione 10.1'!$L$15),0)</f>
        <v>0</v>
      </c>
      <c r="AA101" s="78">
        <f>IF(AA100=TRUE,6960+((AA92-28000)/100*'Simulazione 10.1'!$L$15),0)</f>
        <v>0</v>
      </c>
      <c r="AB101" s="78">
        <f>IF(AB100=TRUE,6960+((AB92-28000)/100*'Simulazione 10.1'!$L$15),0)</f>
        <v>0</v>
      </c>
      <c r="AC101" s="78">
        <f>IF(AC100=TRUE,6960+((AC92-28000)/100*'Simulazione 10.1'!$L$15),0)</f>
        <v>0</v>
      </c>
      <c r="AD101" s="78">
        <f>IF(AD100=TRUE,6960+((AD92-28000)/100*'Simulazione 10.1'!$L$15),0)</f>
        <v>0</v>
      </c>
      <c r="AE101" s="78">
        <f>IF(AE100=TRUE,6960+((AE92-28000)/100*'Simulazione 10.1'!$L$15),0)</f>
        <v>0</v>
      </c>
    </row>
    <row r="102" spans="1:31">
      <c r="A102" s="6">
        <f t="shared" si="41"/>
        <v>1</v>
      </c>
      <c r="B102" s="6">
        <f t="shared" si="39"/>
        <v>0</v>
      </c>
      <c r="C102" s="6">
        <v>102</v>
      </c>
      <c r="D102" s="6">
        <f t="shared" si="40"/>
        <v>0</v>
      </c>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row>
    <row r="103" spans="1:31">
      <c r="A103" s="6">
        <f t="shared" si="41"/>
        <v>2</v>
      </c>
      <c r="B103" s="6">
        <f t="shared" si="39"/>
        <v>0</v>
      </c>
      <c r="C103" s="6">
        <v>103</v>
      </c>
      <c r="D103" s="6">
        <f t="shared" si="40"/>
        <v>0</v>
      </c>
      <c r="G103" s="78" t="b">
        <f>AND(G92&lt;75001,G92&gt;55000)</f>
        <v>0</v>
      </c>
      <c r="H103" s="78" t="b">
        <f t="shared" ref="H103:Z103" si="59">AND(H92&lt;75001,H92&gt;55000)</f>
        <v>0</v>
      </c>
      <c r="I103" s="78" t="b">
        <f t="shared" si="59"/>
        <v>0</v>
      </c>
      <c r="J103" s="78" t="b">
        <f t="shared" si="59"/>
        <v>0</v>
      </c>
      <c r="K103" s="78" t="b">
        <f t="shared" si="59"/>
        <v>0</v>
      </c>
      <c r="L103" s="78" t="b">
        <f t="shared" si="59"/>
        <v>0</v>
      </c>
      <c r="M103" s="78" t="b">
        <f t="shared" si="59"/>
        <v>0</v>
      </c>
      <c r="N103" s="78" t="b">
        <f t="shared" si="59"/>
        <v>0</v>
      </c>
      <c r="O103" s="78" t="b">
        <f t="shared" si="59"/>
        <v>0</v>
      </c>
      <c r="P103" s="78" t="b">
        <f t="shared" si="59"/>
        <v>0</v>
      </c>
      <c r="Q103" s="78" t="b">
        <f t="shared" si="59"/>
        <v>0</v>
      </c>
      <c r="R103" s="78" t="b">
        <f t="shared" si="59"/>
        <v>0</v>
      </c>
      <c r="S103" s="78" t="b">
        <f t="shared" si="59"/>
        <v>0</v>
      </c>
      <c r="T103" s="78" t="b">
        <f t="shared" si="59"/>
        <v>0</v>
      </c>
      <c r="U103" s="78" t="b">
        <f t="shared" si="59"/>
        <v>0</v>
      </c>
      <c r="V103" s="78" t="b">
        <f t="shared" si="59"/>
        <v>0</v>
      </c>
      <c r="W103" s="78" t="b">
        <f t="shared" si="59"/>
        <v>0</v>
      </c>
      <c r="X103" s="78" t="b">
        <f t="shared" si="59"/>
        <v>0</v>
      </c>
      <c r="Y103" s="78" t="b">
        <f t="shared" si="59"/>
        <v>0</v>
      </c>
      <c r="Z103" s="78" t="b">
        <f t="shared" si="59"/>
        <v>0</v>
      </c>
      <c r="AA103" s="78" t="b">
        <f t="shared" ref="AA103:AE103" si="60">AND(AA92&lt;75001,AA92&gt;55000)</f>
        <v>0</v>
      </c>
      <c r="AB103" s="78" t="b">
        <f t="shared" si="60"/>
        <v>0</v>
      </c>
      <c r="AC103" s="78" t="b">
        <f t="shared" si="60"/>
        <v>0</v>
      </c>
      <c r="AD103" s="78" t="b">
        <f t="shared" si="60"/>
        <v>0</v>
      </c>
      <c r="AE103" s="78" t="b">
        <f t="shared" si="60"/>
        <v>0</v>
      </c>
    </row>
    <row r="104" spans="1:31">
      <c r="A104" s="6">
        <f t="shared" si="41"/>
        <v>3</v>
      </c>
      <c r="B104" s="6">
        <f t="shared" si="39"/>
        <v>0</v>
      </c>
      <c r="C104" s="6">
        <v>104</v>
      </c>
      <c r="D104" s="6">
        <f t="shared" si="40"/>
        <v>0</v>
      </c>
      <c r="G104" s="78">
        <f>IF(G103=TRUE,17220+((G92-55000)/100*'Simulazione 10.1'!$L$16),0)</f>
        <v>0</v>
      </c>
      <c r="H104" s="78">
        <f>IF(H103=TRUE,17220+((H92-55000)/100*'Simulazione 10.1'!$L$16),0)</f>
        <v>0</v>
      </c>
      <c r="I104" s="78">
        <f>IF(I103=TRUE,17220+((I92-55000)/100*'Simulazione 10.1'!$L$16),0)</f>
        <v>0</v>
      </c>
      <c r="J104" s="78">
        <f>IF(J103=TRUE,17220+((J92-55000)/100*'Simulazione 10.1'!$L$16),0)</f>
        <v>0</v>
      </c>
      <c r="K104" s="78">
        <f>IF(K103=TRUE,17220+((K92-55000)/100*'Simulazione 10.1'!$L$16),0)</f>
        <v>0</v>
      </c>
      <c r="L104" s="78">
        <f>IF(L103=TRUE,17220+((L92-55000)/100*'Simulazione 10.1'!$L$16),0)</f>
        <v>0</v>
      </c>
      <c r="M104" s="78">
        <f>IF(M103=TRUE,17220+((M92-55000)/100*'Simulazione 10.1'!$L$16),0)</f>
        <v>0</v>
      </c>
      <c r="N104" s="78">
        <f>IF(N103=TRUE,17220+((N92-55000)/100*'Simulazione 10.1'!$L$16),0)</f>
        <v>0</v>
      </c>
      <c r="O104" s="78">
        <f>IF(O103=TRUE,17220+((O92-55000)/100*'Simulazione 10.1'!$L$16),0)</f>
        <v>0</v>
      </c>
      <c r="P104" s="78">
        <f>IF(P103=TRUE,17220+((P92-55000)/100*'Simulazione 10.1'!$L$16),0)</f>
        <v>0</v>
      </c>
      <c r="Q104" s="78">
        <f>IF(Q103=TRUE,17220+((Q92-55000)/100*'Simulazione 10.1'!$L$16),0)</f>
        <v>0</v>
      </c>
      <c r="R104" s="78">
        <f>IF(R103=TRUE,17220+((R92-55000)/100*'Simulazione 10.1'!$L$16),0)</f>
        <v>0</v>
      </c>
      <c r="S104" s="78">
        <f>IF(S103=TRUE,17220+((S92-55000)/100*'Simulazione 10.1'!$L$16),0)</f>
        <v>0</v>
      </c>
      <c r="T104" s="78">
        <f>IF(T103=TRUE,17220+((T92-55000)/100*'Simulazione 10.1'!$L$16),0)</f>
        <v>0</v>
      </c>
      <c r="U104" s="78">
        <f>IF(U103=TRUE,17220+((U92-55000)/100*'Simulazione 10.1'!$L$16),0)</f>
        <v>0</v>
      </c>
      <c r="V104" s="78">
        <f>IF(V103=TRUE,17220+((V92-55000)/100*'Simulazione 10.1'!$L$16),0)</f>
        <v>0</v>
      </c>
      <c r="W104" s="78">
        <f>IF(W103=TRUE,17220+((W92-55000)/100*'Simulazione 10.1'!$L$16),0)</f>
        <v>0</v>
      </c>
      <c r="X104" s="78">
        <f>IF(X103=TRUE,17220+((X92-55000)/100*'Simulazione 10.1'!$L$16),0)</f>
        <v>0</v>
      </c>
      <c r="Y104" s="78">
        <f>IF(Y103=TRUE,17220+((Y92-55000)/100*'Simulazione 10.1'!$L$16),0)</f>
        <v>0</v>
      </c>
      <c r="Z104" s="78">
        <f>IF(Z103=TRUE,17220+((Z92-55000)/100*'Simulazione 10.1'!$L$16),0)</f>
        <v>0</v>
      </c>
      <c r="AA104" s="78">
        <f>IF(AA103=TRUE,17220+((AA92-55000)/100*'Simulazione 10.1'!$L$16),0)</f>
        <v>0</v>
      </c>
      <c r="AB104" s="78">
        <f>IF(AB103=TRUE,17220+((AB92-55000)/100*'Simulazione 10.1'!$L$16),0)</f>
        <v>0</v>
      </c>
      <c r="AC104" s="78">
        <f>IF(AC103=TRUE,17220+((AC92-55000)/100*'Simulazione 10.1'!$L$16),0)</f>
        <v>0</v>
      </c>
      <c r="AD104" s="78">
        <f>IF(AD103=TRUE,17220+((AD92-55000)/100*'Simulazione 10.1'!$L$16),0)</f>
        <v>0</v>
      </c>
      <c r="AE104" s="78">
        <f>IF(AE103=TRUE,17220+((AE92-55000)/100*'Simulazione 10.1'!$L$16),0)</f>
        <v>0</v>
      </c>
    </row>
    <row r="105" spans="1:31">
      <c r="A105" s="6">
        <f t="shared" si="41"/>
        <v>4</v>
      </c>
      <c r="B105" s="6">
        <f t="shared" si="39"/>
        <v>0</v>
      </c>
      <c r="C105" s="6">
        <v>105</v>
      </c>
      <c r="D105" s="6">
        <f t="shared" si="40"/>
        <v>0</v>
      </c>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row>
    <row r="106" spans="1:31">
      <c r="A106" s="6">
        <f t="shared" si="41"/>
        <v>5</v>
      </c>
      <c r="B106" s="6">
        <f t="shared" si="39"/>
        <v>0</v>
      </c>
      <c r="C106" s="6">
        <v>106</v>
      </c>
      <c r="D106" s="6">
        <f t="shared" si="40"/>
        <v>0</v>
      </c>
      <c r="G106" s="78" t="b">
        <f>AND(G92&gt;75000)</f>
        <v>0</v>
      </c>
      <c r="H106" s="78" t="b">
        <f t="shared" ref="H106:Z106" si="61">AND(H92&gt;75000)</f>
        <v>0</v>
      </c>
      <c r="I106" s="78" t="b">
        <f t="shared" si="61"/>
        <v>0</v>
      </c>
      <c r="J106" s="78" t="b">
        <f t="shared" si="61"/>
        <v>0</v>
      </c>
      <c r="K106" s="78" t="b">
        <f t="shared" si="61"/>
        <v>0</v>
      </c>
      <c r="L106" s="78" t="b">
        <f t="shared" si="61"/>
        <v>0</v>
      </c>
      <c r="M106" s="78" t="b">
        <f t="shared" si="61"/>
        <v>0</v>
      </c>
      <c r="N106" s="78" t="b">
        <f t="shared" si="61"/>
        <v>0</v>
      </c>
      <c r="O106" s="78" t="b">
        <f t="shared" si="61"/>
        <v>0</v>
      </c>
      <c r="P106" s="78" t="b">
        <f t="shared" si="61"/>
        <v>0</v>
      </c>
      <c r="Q106" s="78" t="b">
        <f t="shared" si="61"/>
        <v>0</v>
      </c>
      <c r="R106" s="78" t="b">
        <f t="shared" si="61"/>
        <v>0</v>
      </c>
      <c r="S106" s="78" t="b">
        <f t="shared" si="61"/>
        <v>0</v>
      </c>
      <c r="T106" s="78" t="b">
        <f t="shared" si="61"/>
        <v>0</v>
      </c>
      <c r="U106" s="78" t="b">
        <f t="shared" si="61"/>
        <v>0</v>
      </c>
      <c r="V106" s="78" t="b">
        <f t="shared" si="61"/>
        <v>0</v>
      </c>
      <c r="W106" s="78" t="b">
        <f t="shared" si="61"/>
        <v>0</v>
      </c>
      <c r="X106" s="78" t="b">
        <f t="shared" si="61"/>
        <v>0</v>
      </c>
      <c r="Y106" s="78" t="b">
        <f t="shared" si="61"/>
        <v>0</v>
      </c>
      <c r="Z106" s="78" t="b">
        <f t="shared" si="61"/>
        <v>0</v>
      </c>
      <c r="AA106" s="78" t="b">
        <f t="shared" ref="AA106:AE106" si="62">AND(AA92&gt;75000)</f>
        <v>0</v>
      </c>
      <c r="AB106" s="78" t="b">
        <f t="shared" si="62"/>
        <v>0</v>
      </c>
      <c r="AC106" s="78" t="b">
        <f t="shared" si="62"/>
        <v>0</v>
      </c>
      <c r="AD106" s="78" t="b">
        <f t="shared" si="62"/>
        <v>0</v>
      </c>
      <c r="AE106" s="78" t="b">
        <f t="shared" si="62"/>
        <v>0</v>
      </c>
    </row>
    <row r="107" spans="1:31">
      <c r="A107" s="6">
        <f t="shared" si="41"/>
        <v>6</v>
      </c>
      <c r="B107" s="6">
        <f t="shared" si="39"/>
        <v>0</v>
      </c>
      <c r="C107" s="6">
        <v>107</v>
      </c>
      <c r="D107" s="6">
        <f t="shared" si="40"/>
        <v>0</v>
      </c>
      <c r="G107" s="78">
        <f>IF(G106=TRUE,25420+((G92-75000)/100*'Simulazione 10.1'!$L$17),0)</f>
        <v>0</v>
      </c>
      <c r="H107" s="78">
        <f>IF(H106=TRUE,25420+((H92-75000)/100*'Simulazione 10.1'!$L$17),0)</f>
        <v>0</v>
      </c>
      <c r="I107" s="78">
        <f>IF(I106=TRUE,25420+((I92-75000)/100*'Simulazione 10.1'!$L$17),0)</f>
        <v>0</v>
      </c>
      <c r="J107" s="78">
        <f>IF(J106=TRUE,25420+((J92-75000)/100*'Simulazione 10.1'!$L$17),0)</f>
        <v>0</v>
      </c>
      <c r="K107" s="78">
        <f>IF(K106=TRUE,25420+((K92-75000)/100*'Simulazione 10.1'!$L$17),0)</f>
        <v>0</v>
      </c>
      <c r="L107" s="78">
        <f>IF(L106=TRUE,25420+((L92-75000)/100*'Simulazione 10.1'!$L$17),0)</f>
        <v>0</v>
      </c>
      <c r="M107" s="78">
        <f>IF(M106=TRUE,25420+((M92-75000)/100*'Simulazione 10.1'!$L$17),0)</f>
        <v>0</v>
      </c>
      <c r="N107" s="78">
        <f>IF(N106=TRUE,25420+((N92-75000)/100*'Simulazione 10.1'!$L$17),0)</f>
        <v>0</v>
      </c>
      <c r="O107" s="78">
        <f>IF(O106=TRUE,25420+((O92-75000)/100*'Simulazione 10.1'!$L$17),0)</f>
        <v>0</v>
      </c>
      <c r="P107" s="78">
        <f>IF(P106=TRUE,25420+((P92-75000)/100*'Simulazione 10.1'!$L$17),0)</f>
        <v>0</v>
      </c>
      <c r="Q107" s="78">
        <f>IF(Q106=TRUE,25420+((Q92-75000)/100*'Simulazione 10.1'!$L$17),0)</f>
        <v>0</v>
      </c>
      <c r="R107" s="78">
        <f>IF(R106=TRUE,25420+((R92-75000)/100*'Simulazione 10.1'!$L$17),0)</f>
        <v>0</v>
      </c>
      <c r="S107" s="78">
        <f>IF(S106=TRUE,25420+((S92-75000)/100*'Simulazione 10.1'!$L$17),0)</f>
        <v>0</v>
      </c>
      <c r="T107" s="78">
        <f>IF(T106=TRUE,25420+((T92-75000)/100*'Simulazione 10.1'!$L$17),0)</f>
        <v>0</v>
      </c>
      <c r="U107" s="78">
        <f>IF(U106=TRUE,25420+((U92-75000)/100*'Simulazione 10.1'!$L$17),0)</f>
        <v>0</v>
      </c>
      <c r="V107" s="78">
        <f>IF(V106=TRUE,25420+((V92-75000)/100*'Simulazione 10.1'!$L$17),0)</f>
        <v>0</v>
      </c>
      <c r="W107" s="78">
        <f>IF(W106=TRUE,25420+((W92-75000)/100*'Simulazione 10.1'!$L$17),0)</f>
        <v>0</v>
      </c>
      <c r="X107" s="78">
        <f>IF(X106=TRUE,25420+((X92-75000)/100*'Simulazione 10.1'!$L$17),0)</f>
        <v>0</v>
      </c>
      <c r="Y107" s="78">
        <f>IF(Y106=TRUE,25420+((Y92-75000)/100*'Simulazione 10.1'!$L$17),0)</f>
        <v>0</v>
      </c>
      <c r="Z107" s="78">
        <f>IF(Z106=TRUE,25420+((Z92-75000)/100*'Simulazione 10.1'!$L$17),0)</f>
        <v>0</v>
      </c>
      <c r="AA107" s="78">
        <f>IF(AA106=TRUE,25420+((AA92-75000)/100*'Simulazione 10.1'!$L$17),0)</f>
        <v>0</v>
      </c>
      <c r="AB107" s="78">
        <f>IF(AB106=TRUE,25420+((AB92-75000)/100*'Simulazione 10.1'!$L$17),0)</f>
        <v>0</v>
      </c>
      <c r="AC107" s="78">
        <f>IF(AC106=TRUE,25420+((AC92-75000)/100*'Simulazione 10.1'!$L$17),0)</f>
        <v>0</v>
      </c>
      <c r="AD107" s="78">
        <f>IF(AD106=TRUE,25420+((AD92-75000)/100*'Simulazione 10.1'!$L$17),0)</f>
        <v>0</v>
      </c>
      <c r="AE107" s="78">
        <f>IF(AE106=TRUE,25420+((AE92-75000)/100*'Simulazione 10.1'!$L$17),0)</f>
        <v>0</v>
      </c>
    </row>
    <row r="108" spans="1:31">
      <c r="A108" s="6">
        <f t="shared" si="41"/>
        <v>7</v>
      </c>
      <c r="B108" s="6">
        <f t="shared" si="39"/>
        <v>0</v>
      </c>
      <c r="C108" s="6">
        <v>108</v>
      </c>
      <c r="D108" s="6">
        <f t="shared" si="40"/>
        <v>0</v>
      </c>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row>
    <row r="109" spans="1:31">
      <c r="A109" s="6">
        <f t="shared" si="41"/>
        <v>8</v>
      </c>
      <c r="B109" s="6">
        <f t="shared" si="39"/>
        <v>0</v>
      </c>
      <c r="C109" s="6">
        <v>109</v>
      </c>
      <c r="D109" s="6">
        <f t="shared" si="40"/>
        <v>0</v>
      </c>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row>
    <row r="110" spans="1:31">
      <c r="A110" s="6">
        <f t="shared" si="41"/>
        <v>9</v>
      </c>
      <c r="B110" s="6">
        <f t="shared" si="39"/>
        <v>0</v>
      </c>
      <c r="C110" s="6">
        <v>110</v>
      </c>
      <c r="D110" s="6">
        <f t="shared" si="40"/>
        <v>0</v>
      </c>
      <c r="G110" s="78">
        <f>G95+G98+G101+G104+G107</f>
        <v>0</v>
      </c>
      <c r="H110" s="78">
        <f t="shared" ref="H110:Z110" si="63">H95+H98+H101+H104+H107</f>
        <v>0</v>
      </c>
      <c r="I110" s="78">
        <f t="shared" si="63"/>
        <v>0</v>
      </c>
      <c r="J110" s="78">
        <f t="shared" si="63"/>
        <v>0</v>
      </c>
      <c r="K110" s="78">
        <f t="shared" si="63"/>
        <v>0</v>
      </c>
      <c r="L110" s="78">
        <f t="shared" si="63"/>
        <v>0</v>
      </c>
      <c r="M110" s="78">
        <f t="shared" si="63"/>
        <v>0</v>
      </c>
      <c r="N110" s="78">
        <f t="shared" si="63"/>
        <v>0</v>
      </c>
      <c r="O110" s="78">
        <f t="shared" si="63"/>
        <v>0</v>
      </c>
      <c r="P110" s="78">
        <f t="shared" si="63"/>
        <v>0</v>
      </c>
      <c r="Q110" s="78">
        <f t="shared" si="63"/>
        <v>0</v>
      </c>
      <c r="R110" s="78">
        <f t="shared" si="63"/>
        <v>0</v>
      </c>
      <c r="S110" s="78">
        <f t="shared" si="63"/>
        <v>4092.0263482788878</v>
      </c>
      <c r="T110" s="78">
        <f t="shared" si="63"/>
        <v>4027.9281111443779</v>
      </c>
      <c r="U110" s="78">
        <f t="shared" si="63"/>
        <v>3964.406758144079</v>
      </c>
      <c r="V110" s="78">
        <f t="shared" si="63"/>
        <v>3901.4570973207819</v>
      </c>
      <c r="W110" s="78">
        <f t="shared" si="63"/>
        <v>3839.0739834448959</v>
      </c>
      <c r="X110" s="78">
        <f t="shared" si="63"/>
        <v>3777.2523175938895</v>
      </c>
      <c r="Y110" s="78">
        <f t="shared" si="63"/>
        <v>3715.9870467355449</v>
      </c>
      <c r="Z110" s="78">
        <f t="shared" si="63"/>
        <v>3655.2731633149237</v>
      </c>
      <c r="AA110" s="78">
        <f t="shared" ref="AA110:AE110" si="64">AA95+AA98+AA101+AA104+AA107</f>
        <v>0</v>
      </c>
      <c r="AB110" s="78">
        <f t="shared" si="64"/>
        <v>0</v>
      </c>
      <c r="AC110" s="78">
        <f t="shared" si="64"/>
        <v>0</v>
      </c>
      <c r="AD110" s="78">
        <f t="shared" si="64"/>
        <v>0</v>
      </c>
      <c r="AE110" s="78">
        <f t="shared" si="64"/>
        <v>0</v>
      </c>
    </row>
    <row r="111" spans="1:31">
      <c r="A111" s="6">
        <f t="shared" si="41"/>
        <v>10</v>
      </c>
      <c r="B111" s="6">
        <f t="shared" si="39"/>
        <v>0</v>
      </c>
      <c r="C111" s="6">
        <v>111</v>
      </c>
      <c r="D111" s="6">
        <f t="shared" si="40"/>
        <v>0</v>
      </c>
      <c r="G111" s="78">
        <f t="shared" ref="G111:AE111" si="65">IF(G110&gt;0,G110,0)</f>
        <v>0</v>
      </c>
      <c r="H111" s="78">
        <f t="shared" si="65"/>
        <v>0</v>
      </c>
      <c r="I111" s="78">
        <f t="shared" si="65"/>
        <v>0</v>
      </c>
      <c r="J111" s="78">
        <f t="shared" si="65"/>
        <v>0</v>
      </c>
      <c r="K111" s="78">
        <f t="shared" si="65"/>
        <v>0</v>
      </c>
      <c r="L111" s="78">
        <f t="shared" si="65"/>
        <v>0</v>
      </c>
      <c r="M111" s="78">
        <f t="shared" si="65"/>
        <v>0</v>
      </c>
      <c r="N111" s="78">
        <f t="shared" si="65"/>
        <v>0</v>
      </c>
      <c r="O111" s="78">
        <f t="shared" si="65"/>
        <v>0</v>
      </c>
      <c r="P111" s="78">
        <f t="shared" si="65"/>
        <v>0</v>
      </c>
      <c r="Q111" s="78">
        <f t="shared" si="65"/>
        <v>0</v>
      </c>
      <c r="R111" s="78">
        <f t="shared" si="65"/>
        <v>0</v>
      </c>
      <c r="S111" s="78">
        <f t="shared" si="65"/>
        <v>4092.0263482788878</v>
      </c>
      <c r="T111" s="78">
        <f t="shared" si="65"/>
        <v>4027.9281111443779</v>
      </c>
      <c r="U111" s="78">
        <f t="shared" si="65"/>
        <v>3964.406758144079</v>
      </c>
      <c r="V111" s="78">
        <f t="shared" si="65"/>
        <v>3901.4570973207819</v>
      </c>
      <c r="W111" s="78">
        <f t="shared" si="65"/>
        <v>3839.0739834448959</v>
      </c>
      <c r="X111" s="78">
        <f t="shared" si="65"/>
        <v>3777.2523175938895</v>
      </c>
      <c r="Y111" s="78">
        <f t="shared" si="65"/>
        <v>3715.9870467355449</v>
      </c>
      <c r="Z111" s="78">
        <f t="shared" si="65"/>
        <v>3655.2731633149237</v>
      </c>
      <c r="AA111" s="78">
        <f t="shared" si="65"/>
        <v>0</v>
      </c>
      <c r="AB111" s="78">
        <f t="shared" si="65"/>
        <v>0</v>
      </c>
      <c r="AC111" s="78">
        <f t="shared" si="65"/>
        <v>0</v>
      </c>
      <c r="AD111" s="78">
        <f t="shared" si="65"/>
        <v>0</v>
      </c>
      <c r="AE111" s="78">
        <f t="shared" si="65"/>
        <v>0</v>
      </c>
    </row>
    <row r="112" spans="1:31">
      <c r="A112" s="6">
        <f t="shared" si="41"/>
        <v>11</v>
      </c>
      <c r="B112" s="6">
        <f t="shared" si="39"/>
        <v>0</v>
      </c>
      <c r="C112" s="6">
        <v>112</v>
      </c>
      <c r="D112" s="6">
        <f t="shared" si="40"/>
        <v>0</v>
      </c>
    </row>
    <row r="113" spans="1:42">
      <c r="A113" s="6">
        <f t="shared" si="41"/>
        <v>12</v>
      </c>
      <c r="B113" s="6">
        <f t="shared" si="39"/>
        <v>0</v>
      </c>
      <c r="C113" s="6">
        <v>113</v>
      </c>
      <c r="D113" s="6">
        <f t="shared" si="40"/>
        <v>0</v>
      </c>
    </row>
    <row r="114" spans="1:42">
      <c r="A114" s="6">
        <f t="shared" si="41"/>
        <v>13</v>
      </c>
      <c r="B114" s="6">
        <f t="shared" si="39"/>
        <v>0</v>
      </c>
      <c r="C114" s="6">
        <v>114</v>
      </c>
      <c r="D114" s="6">
        <f t="shared" si="40"/>
        <v>0</v>
      </c>
      <c r="G114" s="78">
        <f>'Simulazione 10.1'!F102</f>
        <v>-363592.51686062175</v>
      </c>
      <c r="H114" s="78">
        <f>'Simulazione 10.1'!G102</f>
        <v>-254911.1889926407</v>
      </c>
      <c r="I114" s="78">
        <f>'Simulazione 10.1'!H102</f>
        <v>-143767.8948868548</v>
      </c>
      <c r="J114" s="78">
        <f>'Simulazione 10.1'!I102</f>
        <v>-30076.898896905099</v>
      </c>
      <c r="K114" s="78">
        <f>'Simulazione 10.1'!J102</f>
        <v>86250.068854764351</v>
      </c>
      <c r="L114" s="78">
        <f>'Simulazione 10.1'!K102</f>
        <v>205303.89096013136</v>
      </c>
      <c r="M114" s="78">
        <f>'Simulazione 10.1'!L102</f>
        <v>327178.14360603713</v>
      </c>
      <c r="N114" s="78">
        <f>'Simulazione 10.1'!M102</f>
        <v>451969.1799253627</v>
      </c>
      <c r="O114" s="78">
        <f>'Simulazione 10.1'!N102</f>
        <v>570776.21589471051</v>
      </c>
      <c r="P114" s="78">
        <f>'Simulazione 10.1'!O102</f>
        <v>701701.41885668249</v>
      </c>
      <c r="Q114" s="78">
        <f>'Simulazione 10.1'!P102</f>
        <v>835849.99874723796</v>
      </c>
      <c r="R114" s="78">
        <f>'Simulazione 10.1'!Q102</f>
        <v>967873.64924678544</v>
      </c>
      <c r="S114" s="78">
        <f>'Simulazione 10.1'!R102</f>
        <v>1103415.1471377509</v>
      </c>
      <c r="T114" s="78">
        <f>'Simulazione 10.1'!S102</f>
        <v>1242588.7349157862</v>
      </c>
      <c r="U114" s="78">
        <f>'Simulazione 10.1'!T102</f>
        <v>1385512.0973657463</v>
      </c>
      <c r="V114" s="78">
        <f>'Simulazione 10.1'!U102</f>
        <v>1532306.4675563371</v>
      </c>
      <c r="W114" s="78">
        <f>'Simulazione 10.1'!V102</f>
        <v>1683096.736077735</v>
      </c>
      <c r="X114" s="78">
        <f>'Simulazione 10.1'!W102</f>
        <v>1838011.5636215825</v>
      </c>
      <c r="Y114" s="78">
        <f>'Simulazione 10.1'!X102</f>
        <v>1988183.4970058131</v>
      </c>
    </row>
    <row r="115" spans="1:42">
      <c r="A115" s="6">
        <f t="shared" si="41"/>
        <v>14</v>
      </c>
      <c r="B115" s="6">
        <f t="shared" si="39"/>
        <v>0</v>
      </c>
      <c r="C115" s="6">
        <v>115</v>
      </c>
      <c r="D115" s="6">
        <f t="shared" si="40"/>
        <v>0</v>
      </c>
    </row>
    <row r="116" spans="1:42">
      <c r="A116" s="6">
        <f t="shared" si="41"/>
        <v>15</v>
      </c>
      <c r="B116" s="6">
        <f t="shared" si="39"/>
        <v>0</v>
      </c>
      <c r="C116" s="6">
        <v>116</v>
      </c>
      <c r="D116" s="6">
        <f t="shared" si="40"/>
        <v>0</v>
      </c>
    </row>
    <row r="117" spans="1:42">
      <c r="A117" s="6">
        <f t="shared" si="41"/>
        <v>16</v>
      </c>
      <c r="B117" s="6">
        <f t="shared" si="39"/>
        <v>0</v>
      </c>
      <c r="C117" s="6">
        <v>117</v>
      </c>
      <c r="D117" s="6">
        <f t="shared" si="40"/>
        <v>0</v>
      </c>
      <c r="G117" s="6" t="b">
        <f>AND(G76&gt;1,G76&lt;4)</f>
        <v>0</v>
      </c>
    </row>
    <row r="118" spans="1:42">
      <c r="A118" s="6">
        <f t="shared" si="41"/>
        <v>17</v>
      </c>
      <c r="B118" s="6">
        <f t="shared" si="39"/>
        <v>0</v>
      </c>
      <c r="C118" s="6">
        <v>118</v>
      </c>
      <c r="D118" s="6">
        <f t="shared" si="40"/>
        <v>0</v>
      </c>
    </row>
    <row r="119" spans="1:42">
      <c r="A119" s="6">
        <f t="shared" si="41"/>
        <v>18</v>
      </c>
      <c r="B119" s="6">
        <f t="shared" si="39"/>
        <v>0</v>
      </c>
      <c r="C119" s="6">
        <v>119</v>
      </c>
      <c r="D119" s="6">
        <f t="shared" si="40"/>
        <v>0</v>
      </c>
      <c r="G119" s="524" t="s">
        <v>114</v>
      </c>
      <c r="H119" s="524"/>
      <c r="I119" s="524"/>
      <c r="R119" s="6" t="s">
        <v>39</v>
      </c>
    </row>
    <row r="120" spans="1:42">
      <c r="A120" s="6">
        <f t="shared" si="41"/>
        <v>19</v>
      </c>
      <c r="B120" s="6">
        <f t="shared" si="39"/>
        <v>0</v>
      </c>
      <c r="C120" s="6">
        <v>120</v>
      </c>
      <c r="D120" s="6">
        <f t="shared" si="40"/>
        <v>0</v>
      </c>
      <c r="G120" s="178"/>
      <c r="H120" s="178"/>
      <c r="I120" s="178"/>
      <c r="R120" s="6" t="s">
        <v>121</v>
      </c>
      <c r="T120" s="177"/>
    </row>
    <row r="121" spans="1:42" ht="15.75" thickBot="1">
      <c r="A121" s="6">
        <f t="shared" si="41"/>
        <v>20</v>
      </c>
      <c r="B121" s="6">
        <f t="shared" si="39"/>
        <v>0</v>
      </c>
      <c r="C121" s="6">
        <v>121</v>
      </c>
      <c r="D121" s="6">
        <f t="shared" si="40"/>
        <v>0</v>
      </c>
      <c r="R121" s="2" t="s">
        <v>205</v>
      </c>
    </row>
    <row r="122" spans="1:42">
      <c r="A122" s="6">
        <f t="shared" si="41"/>
        <v>21</v>
      </c>
      <c r="B122" s="6">
        <f t="shared" si="39"/>
        <v>0</v>
      </c>
      <c r="C122" s="6">
        <v>122</v>
      </c>
      <c r="D122" s="6">
        <f t="shared" si="40"/>
        <v>0</v>
      </c>
      <c r="G122" s="23"/>
      <c r="H122" s="15"/>
      <c r="I122" s="518" t="s">
        <v>4</v>
      </c>
      <c r="J122" s="519"/>
      <c r="K122" s="83"/>
      <c r="L122" s="83"/>
      <c r="M122" s="84"/>
      <c r="N122" s="15"/>
      <c r="O122" s="518" t="s">
        <v>5</v>
      </c>
      <c r="P122" s="519"/>
      <c r="Q122" s="2"/>
      <c r="R122" s="2" t="s">
        <v>203</v>
      </c>
    </row>
    <row r="123" spans="1:42">
      <c r="A123" s="6">
        <f t="shared" si="41"/>
        <v>22</v>
      </c>
      <c r="B123" s="6">
        <f t="shared" si="39"/>
        <v>0</v>
      </c>
      <c r="C123" s="6">
        <v>123</v>
      </c>
      <c r="D123" s="6">
        <f t="shared" si="40"/>
        <v>0</v>
      </c>
      <c r="G123" s="22"/>
      <c r="H123" s="2"/>
      <c r="I123" s="5" t="s">
        <v>2</v>
      </c>
      <c r="J123" s="26" t="s">
        <v>3</v>
      </c>
      <c r="K123" s="83"/>
      <c r="L123" s="83"/>
      <c r="M123" s="85"/>
      <c r="N123" s="2"/>
      <c r="O123" s="5" t="s">
        <v>2</v>
      </c>
      <c r="P123" s="26" t="s">
        <v>3</v>
      </c>
      <c r="Q123" s="27"/>
      <c r="R123" s="27" t="s">
        <v>204</v>
      </c>
    </row>
    <row r="124" spans="1:42">
      <c r="A124" s="6">
        <f t="shared" si="41"/>
        <v>23</v>
      </c>
      <c r="B124" s="6">
        <f t="shared" si="39"/>
        <v>0</v>
      </c>
      <c r="C124" s="6">
        <v>124</v>
      </c>
      <c r="D124" s="6">
        <f t="shared" si="40"/>
        <v>0</v>
      </c>
      <c r="G124" s="22" t="b">
        <f>AND($G$1=1,$G$7=1,'Simulazione 10.1'!$C$4&lt;=3,'Simulazione 10.1'!$C$4&gt;=1)</f>
        <v>0</v>
      </c>
      <c r="H124" s="28" t="s">
        <v>6</v>
      </c>
      <c r="I124" s="5">
        <v>208</v>
      </c>
      <c r="J124" s="26">
        <f t="shared" ref="J124:J129" si="66">I124-82</f>
        <v>126</v>
      </c>
      <c r="K124" s="83">
        <f t="shared" ref="K124:K129" si="67">IF(G124=TRUE,(I124+O124)/2,0)</f>
        <v>0</v>
      </c>
      <c r="L124" s="83">
        <f t="shared" ref="L124:L129" si="68">IF(G124=TRUE,(J124+P124)/2,0)</f>
        <v>0</v>
      </c>
      <c r="M124" s="22"/>
      <c r="N124" s="28" t="s">
        <v>6</v>
      </c>
      <c r="O124" s="5">
        <v>201</v>
      </c>
      <c r="P124" s="26">
        <f t="shared" ref="P124:P129" si="69">O124-82</f>
        <v>119</v>
      </c>
      <c r="Q124" s="5"/>
      <c r="R124" s="5">
        <v>4</v>
      </c>
    </row>
    <row r="125" spans="1:42">
      <c r="A125" s="6">
        <f t="shared" si="41"/>
        <v>24</v>
      </c>
      <c r="B125" s="6">
        <f t="shared" si="39"/>
        <v>0</v>
      </c>
      <c r="C125" s="6">
        <v>125</v>
      </c>
      <c r="D125" s="6">
        <f t="shared" si="40"/>
        <v>0</v>
      </c>
      <c r="G125" s="22" t="b">
        <f>AND($G$1=1,$G$7=1,'Simulazione 10.1'!$C$4&lt;=20,'Simulazione 10.1'!$C$4&gt;3)</f>
        <v>0</v>
      </c>
      <c r="H125" s="28" t="s">
        <v>7</v>
      </c>
      <c r="I125" s="5">
        <v>196</v>
      </c>
      <c r="J125" s="26">
        <f t="shared" si="66"/>
        <v>114</v>
      </c>
      <c r="K125" s="83">
        <f t="shared" si="67"/>
        <v>0</v>
      </c>
      <c r="L125" s="83">
        <f t="shared" si="68"/>
        <v>0</v>
      </c>
      <c r="M125" s="22"/>
      <c r="N125" s="28" t="s">
        <v>7</v>
      </c>
      <c r="O125" s="5">
        <v>189</v>
      </c>
      <c r="P125" s="26">
        <f t="shared" si="69"/>
        <v>107</v>
      </c>
      <c r="Q125" s="5"/>
      <c r="R125" s="5"/>
    </row>
    <row r="126" spans="1:42">
      <c r="A126" s="6">
        <f t="shared" si="41"/>
        <v>25</v>
      </c>
      <c r="B126" s="6">
        <f t="shared" si="39"/>
        <v>0</v>
      </c>
      <c r="C126" s="6">
        <v>126</v>
      </c>
      <c r="D126" s="6">
        <f t="shared" si="40"/>
        <v>0</v>
      </c>
      <c r="G126" s="22" t="b">
        <f>AND($G$1=1,$G$7=1,'Simulazione 10.1'!$C$4&lt;=200,'Simulazione 10.1'!$C$4&gt;20)</f>
        <v>0</v>
      </c>
      <c r="H126" s="28" t="s">
        <v>8</v>
      </c>
      <c r="I126" s="5">
        <v>175</v>
      </c>
      <c r="J126" s="26">
        <f t="shared" si="66"/>
        <v>93</v>
      </c>
      <c r="K126" s="83">
        <f t="shared" si="67"/>
        <v>0</v>
      </c>
      <c r="L126" s="83">
        <f t="shared" si="68"/>
        <v>0</v>
      </c>
      <c r="M126" s="22"/>
      <c r="N126" s="28" t="s">
        <v>8</v>
      </c>
      <c r="O126" s="5">
        <v>168</v>
      </c>
      <c r="P126" s="26">
        <f t="shared" si="69"/>
        <v>86</v>
      </c>
      <c r="Q126" s="5"/>
      <c r="R126" s="173">
        <v>1</v>
      </c>
      <c r="S126" s="173">
        <v>2</v>
      </c>
      <c r="T126" s="173">
        <v>3</v>
      </c>
      <c r="U126" s="173">
        <v>4</v>
      </c>
      <c r="V126" s="173">
        <v>5</v>
      </c>
      <c r="W126" s="417">
        <v>6</v>
      </c>
      <c r="X126" s="173">
        <v>7</v>
      </c>
      <c r="Y126" s="173">
        <v>8</v>
      </c>
      <c r="Z126" s="173">
        <v>9</v>
      </c>
      <c r="AA126" s="173">
        <v>10</v>
      </c>
      <c r="AB126" s="173">
        <v>11</v>
      </c>
      <c r="AC126" s="173">
        <v>12</v>
      </c>
      <c r="AD126" s="173">
        <v>13</v>
      </c>
      <c r="AE126" s="173">
        <v>14</v>
      </c>
      <c r="AF126" s="173">
        <v>15</v>
      </c>
      <c r="AG126" s="173">
        <v>16</v>
      </c>
      <c r="AH126" s="173">
        <v>17</v>
      </c>
      <c r="AI126" s="173">
        <v>18</v>
      </c>
      <c r="AJ126" s="173">
        <v>19</v>
      </c>
      <c r="AK126" s="173">
        <v>20</v>
      </c>
      <c r="AL126" s="173">
        <v>21</v>
      </c>
      <c r="AM126" s="173">
        <v>22</v>
      </c>
      <c r="AN126" s="173">
        <v>23</v>
      </c>
      <c r="AO126" s="173">
        <v>24</v>
      </c>
      <c r="AP126" s="173">
        <v>25</v>
      </c>
    </row>
    <row r="127" spans="1:42">
      <c r="A127" s="6">
        <f t="shared" si="41"/>
        <v>26</v>
      </c>
      <c r="B127" s="6">
        <f t="shared" si="39"/>
        <v>0</v>
      </c>
      <c r="C127" s="6">
        <v>127</v>
      </c>
      <c r="D127" s="6">
        <f t="shared" si="40"/>
        <v>0</v>
      </c>
      <c r="G127" s="22" t="b">
        <f>AND($G$1=1,$G$7=1,'Simulazione 10.1'!$C$4&lt;=1000,'Simulazione 10.1'!$C$4&gt;200)</f>
        <v>0</v>
      </c>
      <c r="H127" s="28" t="s">
        <v>9</v>
      </c>
      <c r="I127" s="5">
        <v>142</v>
      </c>
      <c r="J127" s="26">
        <f t="shared" si="66"/>
        <v>60</v>
      </c>
      <c r="K127" s="83">
        <f t="shared" si="67"/>
        <v>0</v>
      </c>
      <c r="L127" s="83">
        <f t="shared" si="68"/>
        <v>0</v>
      </c>
      <c r="M127" s="22"/>
      <c r="N127" s="28" t="s">
        <v>9</v>
      </c>
      <c r="O127" s="5">
        <v>135</v>
      </c>
      <c r="P127" s="26">
        <f t="shared" si="69"/>
        <v>53</v>
      </c>
      <c r="Q127" s="5"/>
      <c r="R127" s="174"/>
      <c r="S127" s="173"/>
      <c r="T127" s="173">
        <f>IF($R$124=2,1,0)</f>
        <v>0</v>
      </c>
      <c r="U127" s="173"/>
      <c r="V127" s="173">
        <f>IF($R$124=3,1,0)</f>
        <v>0</v>
      </c>
      <c r="W127" s="417">
        <f>IF($R$124=2,1,0)</f>
        <v>0</v>
      </c>
      <c r="X127" s="173"/>
      <c r="Y127" s="173"/>
      <c r="Z127" s="173">
        <f>IF($R$124=2,1,0)</f>
        <v>0</v>
      </c>
      <c r="AA127" s="173">
        <f>IF($R$124=3,1,0)</f>
        <v>0</v>
      </c>
      <c r="AB127" s="173"/>
      <c r="AC127" s="173">
        <f>IF($R$124=2,1,0)</f>
        <v>0</v>
      </c>
      <c r="AD127" s="173"/>
      <c r="AE127" s="173"/>
      <c r="AF127" s="173">
        <f>IF($R$124=2,1,0)</f>
        <v>0</v>
      </c>
      <c r="AG127" s="173"/>
      <c r="AH127" s="173"/>
      <c r="AI127" s="173">
        <f>IF($R$124=2,1,0)</f>
        <v>0</v>
      </c>
      <c r="AJ127" s="173"/>
      <c r="AK127" s="173"/>
      <c r="AL127" s="173">
        <f>IF($R$124=2,1,0)</f>
        <v>0</v>
      </c>
      <c r="AM127" s="173"/>
      <c r="AN127" s="173"/>
      <c r="AO127" s="173">
        <f>IF($R$124=2,1,0)</f>
        <v>0</v>
      </c>
      <c r="AP127" s="173"/>
    </row>
    <row r="128" spans="1:42">
      <c r="A128" s="6">
        <f t="shared" si="41"/>
        <v>27</v>
      </c>
      <c r="B128" s="6">
        <f t="shared" si="39"/>
        <v>0</v>
      </c>
      <c r="C128" s="6">
        <v>128</v>
      </c>
      <c r="D128" s="6">
        <f t="shared" si="40"/>
        <v>0</v>
      </c>
      <c r="G128" s="22" t="b">
        <f>AND($G$1=1,$G$7=1,'Simulazione 10.1'!$C$4&lt;=5000,'Simulazione 10.1'!$C$4&gt;1000)</f>
        <v>0</v>
      </c>
      <c r="H128" s="28" t="s">
        <v>10</v>
      </c>
      <c r="I128" s="5">
        <v>126</v>
      </c>
      <c r="J128" s="26">
        <f t="shared" si="66"/>
        <v>44</v>
      </c>
      <c r="K128" s="83">
        <f t="shared" si="67"/>
        <v>0</v>
      </c>
      <c r="L128" s="83">
        <f t="shared" si="68"/>
        <v>0</v>
      </c>
      <c r="M128" s="22"/>
      <c r="N128" s="28" t="s">
        <v>10</v>
      </c>
      <c r="O128" s="5">
        <v>120</v>
      </c>
      <c r="P128" s="26">
        <f t="shared" si="69"/>
        <v>38</v>
      </c>
      <c r="Q128" s="5"/>
      <c r="R128" s="5"/>
      <c r="AA128" s="173">
        <f>IF($R$124=4,1,0)</f>
        <v>1</v>
      </c>
      <c r="AF128" s="173">
        <f>IF($R$124=3,1,0)</f>
        <v>0</v>
      </c>
      <c r="AK128" s="173">
        <f>IF($R$124=3,1,0)</f>
        <v>0</v>
      </c>
      <c r="AP128" s="173">
        <f>IF($R$124=3,1,0)</f>
        <v>0</v>
      </c>
    </row>
    <row r="129" spans="1:42" ht="15.75" thickBot="1">
      <c r="A129" s="6">
        <f t="shared" si="41"/>
        <v>28</v>
      </c>
      <c r="B129" s="6">
        <f t="shared" si="39"/>
        <v>0</v>
      </c>
      <c r="C129" s="6">
        <v>129</v>
      </c>
      <c r="D129" s="6">
        <f t="shared" si="40"/>
        <v>0</v>
      </c>
      <c r="G129" s="29" t="b">
        <f>AND($G$1=1,$G$7=1,'Simulazione 10.1'!$C$4&gt;=5000)</f>
        <v>0</v>
      </c>
      <c r="H129" s="30" t="s">
        <v>11</v>
      </c>
      <c r="I129" s="31">
        <v>119</v>
      </c>
      <c r="J129" s="32">
        <f t="shared" si="66"/>
        <v>37</v>
      </c>
      <c r="K129" s="83">
        <f t="shared" si="67"/>
        <v>0</v>
      </c>
      <c r="L129" s="83">
        <f t="shared" si="68"/>
        <v>0</v>
      </c>
      <c r="M129" s="29"/>
      <c r="N129" s="30" t="s">
        <v>11</v>
      </c>
      <c r="O129" s="31">
        <v>113</v>
      </c>
      <c r="P129" s="32">
        <f t="shared" si="69"/>
        <v>31</v>
      </c>
      <c r="Q129" s="5"/>
      <c r="R129" s="5"/>
      <c r="AK129" s="173">
        <f>IF($R$124=4,1,0)</f>
        <v>1</v>
      </c>
    </row>
    <row r="130" spans="1:42" ht="15.75" thickBot="1">
      <c r="A130" s="6">
        <f t="shared" si="41"/>
        <v>29</v>
      </c>
      <c r="B130" s="6">
        <f t="shared" ref="B130:B193" si="70">IF($E$1=C130,1,0)</f>
        <v>0</v>
      </c>
      <c r="C130" s="6">
        <v>130</v>
      </c>
      <c r="D130" s="6">
        <f t="shared" ref="D130:D193" si="71">IF(B130=1,A130,0)</f>
        <v>0</v>
      </c>
      <c r="I130" s="83"/>
      <c r="J130" s="83"/>
      <c r="K130" s="33">
        <f>IF($K$9=3,K124+K125+K126+K127+K128+K129,0)</f>
        <v>0</v>
      </c>
      <c r="L130" s="33">
        <f>IF($K$9=3,L124+L125+L126+L127+L128+L129,0)</f>
        <v>0</v>
      </c>
      <c r="N130" s="83"/>
      <c r="O130" s="83"/>
      <c r="P130" s="83"/>
      <c r="Q130" s="5"/>
      <c r="R130" s="5"/>
    </row>
    <row r="131" spans="1:42">
      <c r="A131" s="6">
        <f t="shared" ref="A131:A194" si="72">A130+1</f>
        <v>30</v>
      </c>
      <c r="B131" s="6">
        <f t="shared" si="70"/>
        <v>0</v>
      </c>
      <c r="C131" s="6">
        <v>131</v>
      </c>
      <c r="D131" s="6">
        <f t="shared" si="71"/>
        <v>0</v>
      </c>
      <c r="I131" s="83"/>
      <c r="J131" s="83"/>
      <c r="K131" s="5"/>
      <c r="L131" s="5"/>
      <c r="N131" s="83"/>
      <c r="O131" s="83"/>
      <c r="P131" s="83"/>
      <c r="Q131" s="5"/>
      <c r="R131" s="5">
        <f>SUM(R127:R129)</f>
        <v>0</v>
      </c>
      <c r="S131" s="174">
        <f t="shared" ref="S131:AP131" si="73">SUM(S127:S129)</f>
        <v>0</v>
      </c>
      <c r="T131" s="174">
        <f t="shared" si="73"/>
        <v>0</v>
      </c>
      <c r="U131" s="174">
        <f t="shared" si="73"/>
        <v>0</v>
      </c>
      <c r="V131" s="174">
        <f t="shared" si="73"/>
        <v>0</v>
      </c>
      <c r="W131" s="418">
        <f t="shared" si="73"/>
        <v>0</v>
      </c>
      <c r="X131" s="174">
        <f t="shared" si="73"/>
        <v>0</v>
      </c>
      <c r="Y131" s="174">
        <f t="shared" si="73"/>
        <v>0</v>
      </c>
      <c r="Z131" s="174">
        <f t="shared" si="73"/>
        <v>0</v>
      </c>
      <c r="AA131" s="174">
        <f t="shared" si="73"/>
        <v>1</v>
      </c>
      <c r="AB131" s="174">
        <f t="shared" si="73"/>
        <v>0</v>
      </c>
      <c r="AC131" s="174">
        <f t="shared" si="73"/>
        <v>0</v>
      </c>
      <c r="AD131" s="174">
        <f t="shared" si="73"/>
        <v>0</v>
      </c>
      <c r="AE131" s="174">
        <f t="shared" si="73"/>
        <v>0</v>
      </c>
      <c r="AF131" s="174">
        <f t="shared" si="73"/>
        <v>0</v>
      </c>
      <c r="AG131" s="174">
        <f t="shared" si="73"/>
        <v>0</v>
      </c>
      <c r="AH131" s="174">
        <f t="shared" si="73"/>
        <v>0</v>
      </c>
      <c r="AI131" s="174">
        <f t="shared" si="73"/>
        <v>0</v>
      </c>
      <c r="AJ131" s="174">
        <f t="shared" si="73"/>
        <v>0</v>
      </c>
      <c r="AK131" s="174">
        <f t="shared" si="73"/>
        <v>1</v>
      </c>
      <c r="AL131" s="174">
        <f t="shared" si="73"/>
        <v>0</v>
      </c>
      <c r="AM131" s="174">
        <f t="shared" si="73"/>
        <v>0</v>
      </c>
      <c r="AN131" s="174">
        <f t="shared" si="73"/>
        <v>0</v>
      </c>
      <c r="AO131" s="174">
        <f t="shared" si="73"/>
        <v>0</v>
      </c>
      <c r="AP131" s="174">
        <f t="shared" si="73"/>
        <v>0</v>
      </c>
    </row>
    <row r="132" spans="1:42" ht="15.75" thickBot="1">
      <c r="A132" s="6">
        <f t="shared" si="72"/>
        <v>31</v>
      </c>
      <c r="B132" s="6">
        <f t="shared" si="70"/>
        <v>0</v>
      </c>
      <c r="C132" s="6">
        <v>132</v>
      </c>
      <c r="D132" s="6">
        <f t="shared" si="71"/>
        <v>0</v>
      </c>
      <c r="I132" s="459"/>
      <c r="J132" s="459"/>
      <c r="K132" s="83"/>
      <c r="L132" s="83"/>
      <c r="N132" s="83"/>
      <c r="O132" s="459"/>
      <c r="P132" s="459"/>
      <c r="Q132" s="5"/>
      <c r="R132" s="5"/>
    </row>
    <row r="133" spans="1:42" ht="15.75">
      <c r="A133" s="6">
        <f t="shared" si="72"/>
        <v>32</v>
      </c>
      <c r="B133" s="6">
        <f t="shared" si="70"/>
        <v>0</v>
      </c>
      <c r="C133" s="6">
        <v>133</v>
      </c>
      <c r="D133" s="6">
        <f t="shared" si="71"/>
        <v>0</v>
      </c>
      <c r="G133" s="62"/>
      <c r="H133" s="63"/>
      <c r="I133" s="64" t="s">
        <v>2</v>
      </c>
      <c r="J133" s="65" t="s">
        <v>3</v>
      </c>
      <c r="K133" s="40"/>
      <c r="L133" s="40"/>
      <c r="M133" s="62"/>
      <c r="N133" s="63"/>
      <c r="O133" s="64" t="s">
        <v>2</v>
      </c>
      <c r="P133" s="65" t="s">
        <v>3</v>
      </c>
      <c r="Q133" s="38"/>
      <c r="R133" s="38"/>
    </row>
    <row r="134" spans="1:42" ht="15.75">
      <c r="A134" s="6">
        <f t="shared" si="72"/>
        <v>33</v>
      </c>
      <c r="B134" s="6">
        <f t="shared" si="70"/>
        <v>0</v>
      </c>
      <c r="C134" s="6">
        <v>134</v>
      </c>
      <c r="D134" s="6">
        <f t="shared" si="71"/>
        <v>0</v>
      </c>
      <c r="G134" s="22" t="b">
        <f>AND($G$1=2,$G$7=1,'Simulazione 10.1'!$C$4&lt;=3,'Simulazione 10.1'!$C$4&gt;=1)</f>
        <v>0</v>
      </c>
      <c r="H134" s="28" t="s">
        <v>6</v>
      </c>
      <c r="I134" s="42">
        <v>182</v>
      </c>
      <c r="J134" s="43">
        <f t="shared" ref="J134:J139" si="74">I134-82</f>
        <v>100</v>
      </c>
      <c r="K134" s="83">
        <f t="shared" ref="K134:K139" si="75">IF(G134=TRUE,(I134+O134)/2,0)</f>
        <v>0</v>
      </c>
      <c r="L134" s="83">
        <f t="shared" ref="L134:L139" si="76">IF(G134=TRUE,(J134+P134)/2,0)</f>
        <v>0</v>
      </c>
      <c r="M134" s="22"/>
      <c r="N134" s="28" t="s">
        <v>6</v>
      </c>
      <c r="O134" s="42">
        <v>176</v>
      </c>
      <c r="P134" s="43">
        <f t="shared" ref="P134:P139" si="77">O134-82</f>
        <v>94</v>
      </c>
      <c r="Q134" s="5"/>
      <c r="R134" s="5"/>
    </row>
    <row r="135" spans="1:42" ht="15.75">
      <c r="A135" s="6">
        <f t="shared" si="72"/>
        <v>34</v>
      </c>
      <c r="B135" s="6">
        <f t="shared" si="70"/>
        <v>0</v>
      </c>
      <c r="C135" s="6">
        <v>135</v>
      </c>
      <c r="D135" s="6">
        <f t="shared" si="71"/>
        <v>0</v>
      </c>
      <c r="G135" s="22" t="b">
        <f>AND($G$1=2,$G$7=1,'Simulazione 10.1'!$C$4&lt;=20,'Simulazione 10.1'!$C$4&gt;3)</f>
        <v>0</v>
      </c>
      <c r="H135" s="28" t="s">
        <v>7</v>
      </c>
      <c r="I135" s="42">
        <v>171</v>
      </c>
      <c r="J135" s="43">
        <f t="shared" si="74"/>
        <v>89</v>
      </c>
      <c r="K135" s="83">
        <f t="shared" si="75"/>
        <v>0</v>
      </c>
      <c r="L135" s="83">
        <f t="shared" si="76"/>
        <v>0</v>
      </c>
      <c r="M135" s="22"/>
      <c r="N135" s="28" t="s">
        <v>7</v>
      </c>
      <c r="O135" s="42">
        <v>165</v>
      </c>
      <c r="P135" s="43">
        <f t="shared" si="77"/>
        <v>83</v>
      </c>
      <c r="Q135" s="5"/>
      <c r="R135" s="5"/>
    </row>
    <row r="136" spans="1:42" ht="15.75">
      <c r="A136" s="6">
        <f t="shared" si="72"/>
        <v>35</v>
      </c>
      <c r="B136" s="6">
        <f t="shared" si="70"/>
        <v>0</v>
      </c>
      <c r="C136" s="6">
        <v>136</v>
      </c>
      <c r="D136" s="6">
        <f t="shared" si="71"/>
        <v>0</v>
      </c>
      <c r="G136" s="22" t="b">
        <f>AND($G$1=2,$G$7=1,'Simulazione 10.1'!$C$4&lt;=200,'Simulazione 10.1'!$C$4&gt;20)</f>
        <v>0</v>
      </c>
      <c r="H136" s="28" t="s">
        <v>8</v>
      </c>
      <c r="I136" s="42">
        <v>157</v>
      </c>
      <c r="J136" s="43">
        <f t="shared" si="74"/>
        <v>75</v>
      </c>
      <c r="K136" s="83">
        <f t="shared" si="75"/>
        <v>0</v>
      </c>
      <c r="L136" s="83">
        <f t="shared" si="76"/>
        <v>0</v>
      </c>
      <c r="M136" s="22"/>
      <c r="N136" s="28" t="s">
        <v>8</v>
      </c>
      <c r="O136" s="42">
        <v>151</v>
      </c>
      <c r="P136" s="43">
        <f t="shared" si="77"/>
        <v>69</v>
      </c>
      <c r="Q136" s="5"/>
      <c r="R136" s="5"/>
    </row>
    <row r="137" spans="1:42" ht="15.75">
      <c r="A137" s="6">
        <f t="shared" si="72"/>
        <v>36</v>
      </c>
      <c r="B137" s="6">
        <f t="shared" si="70"/>
        <v>0</v>
      </c>
      <c r="C137" s="6">
        <v>137</v>
      </c>
      <c r="D137" s="6">
        <f t="shared" si="71"/>
        <v>0</v>
      </c>
      <c r="G137" s="22" t="b">
        <f>AND($G$1=2,$G$7=1,'Simulazione 10.1'!$C$4&lt;=1000,'Simulazione 10.1'!$C$4&gt;200)</f>
        <v>0</v>
      </c>
      <c r="H137" s="28" t="s">
        <v>9</v>
      </c>
      <c r="I137" s="38">
        <v>130</v>
      </c>
      <c r="J137" s="39">
        <f t="shared" si="74"/>
        <v>48</v>
      </c>
      <c r="K137" s="83">
        <f t="shared" si="75"/>
        <v>0</v>
      </c>
      <c r="L137" s="83">
        <f t="shared" si="76"/>
        <v>0</v>
      </c>
      <c r="M137" s="22"/>
      <c r="N137" s="28" t="s">
        <v>9</v>
      </c>
      <c r="O137" s="38">
        <v>124</v>
      </c>
      <c r="P137" s="39">
        <f t="shared" si="77"/>
        <v>42</v>
      </c>
      <c r="Q137" s="5"/>
      <c r="R137" s="5"/>
    </row>
    <row r="138" spans="1:42" ht="15.75">
      <c r="A138" s="6">
        <f t="shared" si="72"/>
        <v>37</v>
      </c>
      <c r="B138" s="6">
        <f t="shared" si="70"/>
        <v>0</v>
      </c>
      <c r="C138" s="6">
        <v>138</v>
      </c>
      <c r="D138" s="6">
        <f t="shared" si="71"/>
        <v>0</v>
      </c>
      <c r="G138" s="22" t="b">
        <f>AND($G$1=2,$G$7=1,'Simulazione 10.1'!$C$4&lt;=5000,'Simulazione 10.1'!$C$4&gt;1000)</f>
        <v>0</v>
      </c>
      <c r="H138" s="28" t="s">
        <v>10</v>
      </c>
      <c r="I138" s="42">
        <v>118</v>
      </c>
      <c r="J138" s="43">
        <f t="shared" si="74"/>
        <v>36</v>
      </c>
      <c r="K138" s="83">
        <f t="shared" si="75"/>
        <v>0</v>
      </c>
      <c r="L138" s="83">
        <f t="shared" si="76"/>
        <v>0</v>
      </c>
      <c r="M138" s="22"/>
      <c r="N138" s="28" t="s">
        <v>10</v>
      </c>
      <c r="O138" s="42">
        <v>113</v>
      </c>
      <c r="P138" s="43">
        <f t="shared" si="77"/>
        <v>31</v>
      </c>
      <c r="Q138" s="5"/>
      <c r="R138" s="5"/>
    </row>
    <row r="139" spans="1:42" ht="16.5" thickBot="1">
      <c r="A139" s="6">
        <f t="shared" si="72"/>
        <v>38</v>
      </c>
      <c r="B139" s="6">
        <f t="shared" si="70"/>
        <v>1</v>
      </c>
      <c r="C139" s="6">
        <v>139</v>
      </c>
      <c r="D139" s="6">
        <f t="shared" si="71"/>
        <v>38</v>
      </c>
      <c r="G139" s="29" t="b">
        <f>AND($G$1=2,$G$7=1,'Simulazione 10.1'!$C$4&gt;=5000)</f>
        <v>0</v>
      </c>
      <c r="H139" s="30" t="s">
        <v>11</v>
      </c>
      <c r="I139" s="47">
        <v>112</v>
      </c>
      <c r="J139" s="48">
        <f t="shared" si="74"/>
        <v>30</v>
      </c>
      <c r="K139" s="83">
        <f t="shared" si="75"/>
        <v>0</v>
      </c>
      <c r="L139" s="83">
        <f t="shared" si="76"/>
        <v>0</v>
      </c>
      <c r="M139" s="29"/>
      <c r="N139" s="30" t="s">
        <v>11</v>
      </c>
      <c r="O139" s="47">
        <v>106</v>
      </c>
      <c r="P139" s="48">
        <f t="shared" si="77"/>
        <v>24</v>
      </c>
      <c r="Q139" s="5"/>
      <c r="R139" s="5"/>
    </row>
    <row r="140" spans="1:42" ht="16.5" thickBot="1">
      <c r="A140" s="6">
        <f t="shared" si="72"/>
        <v>39</v>
      </c>
      <c r="B140" s="6">
        <f t="shared" si="70"/>
        <v>0</v>
      </c>
      <c r="C140" s="6">
        <v>140</v>
      </c>
      <c r="D140" s="6">
        <f t="shared" si="71"/>
        <v>0</v>
      </c>
      <c r="G140" s="41"/>
      <c r="H140" s="41"/>
      <c r="I140" s="44"/>
      <c r="J140" s="44"/>
      <c r="K140" s="33">
        <f>IF($K$9=3,K134+K135+K136+K137+K138+K139,0)</f>
        <v>0</v>
      </c>
      <c r="L140" s="33">
        <f>IF($K$9=3,L134+L135+L136+L137+L138+L139,0)</f>
        <v>0</v>
      </c>
      <c r="M140" s="41"/>
      <c r="N140" s="44"/>
      <c r="O140" s="44"/>
      <c r="P140" s="44"/>
      <c r="Q140" s="42"/>
      <c r="R140" s="42"/>
    </row>
    <row r="141" spans="1:42" ht="15.75">
      <c r="A141" s="6">
        <f t="shared" si="72"/>
        <v>40</v>
      </c>
      <c r="B141" s="6">
        <f t="shared" si="70"/>
        <v>0</v>
      </c>
      <c r="C141" s="6">
        <v>141</v>
      </c>
      <c r="D141" s="6">
        <f t="shared" si="71"/>
        <v>0</v>
      </c>
      <c r="G141" s="41"/>
      <c r="H141" s="41"/>
      <c r="I141" s="41"/>
      <c r="J141" s="41"/>
      <c r="K141" s="41"/>
      <c r="L141" s="41"/>
      <c r="M141" s="41"/>
      <c r="N141" s="41"/>
      <c r="O141" s="41"/>
      <c r="P141" s="41"/>
      <c r="Q141" s="11"/>
      <c r="R141" s="11"/>
    </row>
    <row r="142" spans="1:42" ht="16.5" thickBot="1">
      <c r="A142" s="6">
        <f t="shared" si="72"/>
        <v>41</v>
      </c>
      <c r="B142" s="6">
        <f t="shared" si="70"/>
        <v>0</v>
      </c>
      <c r="C142" s="6">
        <v>142</v>
      </c>
      <c r="D142" s="6">
        <f t="shared" si="71"/>
        <v>0</v>
      </c>
      <c r="G142" s="41"/>
      <c r="H142" s="41"/>
      <c r="I142" s="41"/>
      <c r="J142" s="41"/>
      <c r="K142" s="41"/>
      <c r="L142" s="41"/>
      <c r="M142" s="41"/>
      <c r="N142" s="41"/>
      <c r="O142" s="41"/>
      <c r="P142" s="41"/>
      <c r="Q142" s="11"/>
      <c r="R142" s="11"/>
    </row>
    <row r="143" spans="1:42" ht="15.75">
      <c r="A143" s="6">
        <f t="shared" si="72"/>
        <v>42</v>
      </c>
      <c r="B143" s="6">
        <f t="shared" si="70"/>
        <v>0</v>
      </c>
      <c r="C143" s="6">
        <v>143</v>
      </c>
      <c r="D143" s="6">
        <f t="shared" si="71"/>
        <v>0</v>
      </c>
      <c r="G143" s="62"/>
      <c r="H143" s="63"/>
      <c r="I143" s="64" t="s">
        <v>2</v>
      </c>
      <c r="J143" s="65" t="s">
        <v>3</v>
      </c>
      <c r="K143" s="40"/>
      <c r="L143" s="40"/>
      <c r="M143" s="62"/>
      <c r="N143" s="63"/>
      <c r="O143" s="64" t="s">
        <v>2</v>
      </c>
      <c r="P143" s="65" t="s">
        <v>3</v>
      </c>
      <c r="Q143" s="38"/>
      <c r="R143" s="38"/>
    </row>
    <row r="144" spans="1:42" ht="15.75">
      <c r="A144" s="6">
        <f t="shared" si="72"/>
        <v>43</v>
      </c>
      <c r="B144" s="6">
        <f t="shared" si="70"/>
        <v>0</v>
      </c>
      <c r="C144" s="6">
        <v>144</v>
      </c>
      <c r="D144" s="6">
        <f t="shared" si="71"/>
        <v>0</v>
      </c>
      <c r="G144" s="22" t="b">
        <f>AND($G$1=3,$G$7=1,'Simulazione 10.1'!$C$4&lt;=3,'Simulazione 10.1'!$C$4&gt;=1)</f>
        <v>0</v>
      </c>
      <c r="H144" s="28" t="s">
        <v>6</v>
      </c>
      <c r="I144" s="42">
        <v>157</v>
      </c>
      <c r="J144" s="43">
        <f t="shared" ref="J144:J149" si="78">I144-82</f>
        <v>75</v>
      </c>
      <c r="K144" s="83">
        <f t="shared" ref="K144:K149" si="79">IF(G144=TRUE,(I144+O144)/2,0)</f>
        <v>0</v>
      </c>
      <c r="L144" s="83">
        <f t="shared" ref="L144:L149" si="80">IF(G144=TRUE,(J144+P144)/2,0)</f>
        <v>0</v>
      </c>
      <c r="M144" s="22"/>
      <c r="N144" s="28" t="s">
        <v>6</v>
      </c>
      <c r="O144" s="42">
        <v>152</v>
      </c>
      <c r="P144" s="43">
        <f t="shared" ref="P144:P149" si="81">O144-82</f>
        <v>70</v>
      </c>
      <c r="Q144" s="5"/>
      <c r="R144" s="5"/>
    </row>
    <row r="145" spans="1:18" ht="15.75">
      <c r="A145" s="6">
        <f t="shared" si="72"/>
        <v>44</v>
      </c>
      <c r="B145" s="6">
        <f t="shared" si="70"/>
        <v>0</v>
      </c>
      <c r="C145" s="6">
        <v>145</v>
      </c>
      <c r="D145" s="6">
        <f t="shared" si="71"/>
        <v>0</v>
      </c>
      <c r="G145" s="22" t="b">
        <f>AND($G$1=3,$G$7=1,'Simulazione 10.1'!$C$4&lt;=20,'Simulazione 10.1'!$C$4&gt;3)</f>
        <v>0</v>
      </c>
      <c r="H145" s="28" t="s">
        <v>7</v>
      </c>
      <c r="I145" s="42">
        <v>149</v>
      </c>
      <c r="J145" s="43">
        <f t="shared" si="78"/>
        <v>67</v>
      </c>
      <c r="K145" s="83">
        <f t="shared" si="79"/>
        <v>0</v>
      </c>
      <c r="L145" s="83">
        <f t="shared" si="80"/>
        <v>0</v>
      </c>
      <c r="M145" s="22"/>
      <c r="N145" s="28" t="s">
        <v>7</v>
      </c>
      <c r="O145" s="42">
        <v>144</v>
      </c>
      <c r="P145" s="43">
        <f t="shared" si="81"/>
        <v>62</v>
      </c>
      <c r="Q145" s="5"/>
      <c r="R145" s="5"/>
    </row>
    <row r="146" spans="1:18" ht="15.75">
      <c r="A146" s="6">
        <f t="shared" si="72"/>
        <v>45</v>
      </c>
      <c r="B146" s="6">
        <f t="shared" si="70"/>
        <v>0</v>
      </c>
      <c r="C146" s="6">
        <v>146</v>
      </c>
      <c r="D146" s="6">
        <f t="shared" si="71"/>
        <v>0</v>
      </c>
      <c r="G146" s="22" t="b">
        <f>AND($G$1=3,$G$7=1,'Simulazione 10.1'!$C$4&lt;=200,'Simulazione 10.1'!$C$4&gt;20)</f>
        <v>0</v>
      </c>
      <c r="H146" s="28" t="s">
        <v>8</v>
      </c>
      <c r="I146" s="42">
        <v>141</v>
      </c>
      <c r="J146" s="43">
        <f t="shared" si="78"/>
        <v>59</v>
      </c>
      <c r="K146" s="83">
        <f t="shared" si="79"/>
        <v>0</v>
      </c>
      <c r="L146" s="83">
        <f t="shared" si="80"/>
        <v>0</v>
      </c>
      <c r="M146" s="22"/>
      <c r="N146" s="28" t="s">
        <v>8</v>
      </c>
      <c r="O146" s="42">
        <v>136</v>
      </c>
      <c r="P146" s="43">
        <f t="shared" si="81"/>
        <v>54</v>
      </c>
      <c r="Q146" s="5"/>
      <c r="R146" s="5"/>
    </row>
    <row r="147" spans="1:18" ht="15.75">
      <c r="A147" s="6">
        <f t="shared" si="72"/>
        <v>46</v>
      </c>
      <c r="B147" s="6">
        <f t="shared" si="70"/>
        <v>0</v>
      </c>
      <c r="C147" s="6">
        <v>147</v>
      </c>
      <c r="D147" s="6">
        <f t="shared" si="71"/>
        <v>0</v>
      </c>
      <c r="G147" s="22" t="b">
        <f>AND($G$1=3,$G$7=1,'Simulazione 10.1'!$C$4&lt;=1000,'Simulazione 10.1'!$C$4&gt;200)</f>
        <v>1</v>
      </c>
      <c r="H147" s="28" t="s">
        <v>9</v>
      </c>
      <c r="I147" s="38">
        <v>118</v>
      </c>
      <c r="J147" s="39">
        <f t="shared" si="78"/>
        <v>36</v>
      </c>
      <c r="K147" s="83">
        <f t="shared" si="79"/>
        <v>115.5</v>
      </c>
      <c r="L147" s="83">
        <f t="shared" si="80"/>
        <v>33.5</v>
      </c>
      <c r="M147" s="22"/>
      <c r="N147" s="28" t="s">
        <v>9</v>
      </c>
      <c r="O147" s="38">
        <v>113</v>
      </c>
      <c r="P147" s="39">
        <f t="shared" si="81"/>
        <v>31</v>
      </c>
      <c r="Q147" s="5"/>
      <c r="R147" s="5"/>
    </row>
    <row r="148" spans="1:18" ht="15.75">
      <c r="A148" s="6">
        <f t="shared" si="72"/>
        <v>47</v>
      </c>
      <c r="B148" s="6">
        <f t="shared" si="70"/>
        <v>0</v>
      </c>
      <c r="C148" s="6">
        <v>148</v>
      </c>
      <c r="D148" s="6">
        <f t="shared" si="71"/>
        <v>0</v>
      </c>
      <c r="G148" s="22" t="b">
        <f>AND($G$1=3,$G$7=1,'Simulazione 10.1'!$C$4&lt;=5000,'Simulazione 10.1'!$C$4&gt;1000)</f>
        <v>0</v>
      </c>
      <c r="H148" s="28" t="s">
        <v>10</v>
      </c>
      <c r="I148" s="42">
        <v>110</v>
      </c>
      <c r="J148" s="43">
        <f t="shared" si="78"/>
        <v>28</v>
      </c>
      <c r="K148" s="83">
        <f t="shared" si="79"/>
        <v>0</v>
      </c>
      <c r="L148" s="83">
        <f t="shared" si="80"/>
        <v>0</v>
      </c>
      <c r="M148" s="22"/>
      <c r="N148" s="28" t="s">
        <v>10</v>
      </c>
      <c r="O148" s="42">
        <v>106</v>
      </c>
      <c r="P148" s="43">
        <f t="shared" si="81"/>
        <v>24</v>
      </c>
      <c r="Q148" s="5"/>
      <c r="R148" s="5"/>
    </row>
    <row r="149" spans="1:18" ht="16.5" thickBot="1">
      <c r="A149" s="6">
        <f t="shared" si="72"/>
        <v>48</v>
      </c>
      <c r="B149" s="6">
        <f t="shared" si="70"/>
        <v>0</v>
      </c>
      <c r="C149" s="6">
        <v>149</v>
      </c>
      <c r="D149" s="6">
        <f t="shared" si="71"/>
        <v>0</v>
      </c>
      <c r="G149" s="29" t="b">
        <f>AND($G$1=3,$G$7=1,'Simulazione 10.1'!$C$4&gt;=5000)</f>
        <v>0</v>
      </c>
      <c r="H149" s="30" t="s">
        <v>11</v>
      </c>
      <c r="I149" s="47">
        <v>104</v>
      </c>
      <c r="J149" s="48">
        <f t="shared" si="78"/>
        <v>22</v>
      </c>
      <c r="K149" s="83">
        <f t="shared" si="79"/>
        <v>0</v>
      </c>
      <c r="L149" s="83">
        <f t="shared" si="80"/>
        <v>0</v>
      </c>
      <c r="M149" s="29"/>
      <c r="N149" s="30" t="s">
        <v>11</v>
      </c>
      <c r="O149" s="47">
        <v>99</v>
      </c>
      <c r="P149" s="48">
        <f t="shared" si="81"/>
        <v>17</v>
      </c>
      <c r="Q149" s="5"/>
      <c r="R149" s="5"/>
    </row>
    <row r="150" spans="1:18" ht="16.5" thickBot="1">
      <c r="A150" s="6">
        <f t="shared" si="72"/>
        <v>49</v>
      </c>
      <c r="B150" s="6">
        <f t="shared" si="70"/>
        <v>0</v>
      </c>
      <c r="C150" s="6">
        <v>150</v>
      </c>
      <c r="D150" s="6">
        <f t="shared" si="71"/>
        <v>0</v>
      </c>
      <c r="G150" s="41"/>
      <c r="H150" s="41"/>
      <c r="I150" s="44"/>
      <c r="J150" s="44"/>
      <c r="K150" s="33">
        <f>IF($K$9=3,K144+K145+K146+K147+K148+K149,0)</f>
        <v>0</v>
      </c>
      <c r="L150" s="33">
        <f>IF($K$9=3,L144+L145+L146+L147+L148+L149,0)</f>
        <v>0</v>
      </c>
      <c r="M150" s="41"/>
      <c r="N150" s="44"/>
      <c r="O150" s="44"/>
      <c r="P150" s="44"/>
      <c r="Q150" s="42"/>
      <c r="R150" s="42"/>
    </row>
    <row r="151" spans="1:18">
      <c r="A151" s="6">
        <f t="shared" si="72"/>
        <v>50</v>
      </c>
      <c r="B151" s="6">
        <f t="shared" si="70"/>
        <v>0</v>
      </c>
      <c r="C151" s="6">
        <v>151</v>
      </c>
      <c r="D151" s="6">
        <f t="shared" si="71"/>
        <v>0</v>
      </c>
      <c r="G151" s="2"/>
      <c r="H151" s="2"/>
      <c r="I151" s="5"/>
      <c r="J151" s="5"/>
      <c r="K151" s="5"/>
      <c r="L151" s="5"/>
      <c r="M151" s="2"/>
      <c r="N151" s="5"/>
      <c r="O151" s="5"/>
      <c r="P151" s="5"/>
      <c r="Q151" s="5"/>
      <c r="R151" s="5"/>
    </row>
    <row r="152" spans="1:18">
      <c r="A152" s="6">
        <f t="shared" si="72"/>
        <v>51</v>
      </c>
      <c r="B152" s="6">
        <f t="shared" si="70"/>
        <v>0</v>
      </c>
      <c r="C152" s="6">
        <v>152</v>
      </c>
      <c r="D152" s="6">
        <f t="shared" si="71"/>
        <v>0</v>
      </c>
      <c r="Q152" s="2"/>
      <c r="R152" s="2"/>
    </row>
    <row r="153" spans="1:18">
      <c r="A153" s="6">
        <f t="shared" si="72"/>
        <v>52</v>
      </c>
      <c r="B153" s="6">
        <f t="shared" si="70"/>
        <v>0</v>
      </c>
      <c r="C153" s="6">
        <v>153</v>
      </c>
      <c r="D153" s="6">
        <f t="shared" si="71"/>
        <v>0</v>
      </c>
      <c r="Q153" s="2"/>
      <c r="R153" s="2"/>
    </row>
    <row r="154" spans="1:18" ht="15.75" thickBot="1">
      <c r="A154" s="6">
        <f t="shared" si="72"/>
        <v>53</v>
      </c>
      <c r="B154" s="6">
        <f t="shared" si="70"/>
        <v>0</v>
      </c>
      <c r="C154" s="6">
        <v>154</v>
      </c>
      <c r="D154" s="6">
        <f t="shared" si="71"/>
        <v>0</v>
      </c>
      <c r="Q154" s="2"/>
      <c r="R154" s="2"/>
    </row>
    <row r="155" spans="1:18" ht="15.75">
      <c r="A155" s="6">
        <f t="shared" si="72"/>
        <v>54</v>
      </c>
      <c r="B155" s="6">
        <f t="shared" si="70"/>
        <v>0</v>
      </c>
      <c r="C155" s="6">
        <v>155</v>
      </c>
      <c r="D155" s="6">
        <f t="shared" si="71"/>
        <v>0</v>
      </c>
      <c r="G155" s="62"/>
      <c r="H155" s="63"/>
      <c r="I155" s="64" t="s">
        <v>2</v>
      </c>
      <c r="J155" s="65" t="s">
        <v>3</v>
      </c>
      <c r="K155" s="40"/>
      <c r="L155" s="40"/>
      <c r="M155" s="62"/>
      <c r="N155" s="63"/>
      <c r="O155" s="64" t="s">
        <v>2</v>
      </c>
      <c r="P155" s="65" t="s">
        <v>3</v>
      </c>
      <c r="Q155" s="38"/>
      <c r="R155" s="38"/>
    </row>
    <row r="156" spans="1:18" ht="15.75">
      <c r="A156" s="6">
        <f t="shared" si="72"/>
        <v>55</v>
      </c>
      <c r="B156" s="6">
        <f t="shared" si="70"/>
        <v>0</v>
      </c>
      <c r="C156" s="6">
        <v>156</v>
      </c>
      <c r="D156" s="6">
        <f t="shared" si="71"/>
        <v>0</v>
      </c>
      <c r="G156" s="22" t="b">
        <f>AND($G$1=4,$G$7=1,'Simulazione 10.1'!$C$4&lt;=3,'Simulazione 10.1'!$C$4&gt;=1)</f>
        <v>0</v>
      </c>
      <c r="H156" s="28" t="s">
        <v>6</v>
      </c>
      <c r="I156" s="42">
        <v>144</v>
      </c>
      <c r="J156" s="43">
        <f t="shared" ref="J156:J161" si="82">I156-82</f>
        <v>62</v>
      </c>
      <c r="K156" s="83">
        <f t="shared" ref="K156:K161" si="83">IF(G156=TRUE,(I156+O156)/2,0)</f>
        <v>0</v>
      </c>
      <c r="L156" s="83">
        <f t="shared" ref="L156:L161" si="84">IF(G156=TRUE,(J156+P156)/2,0)</f>
        <v>0</v>
      </c>
      <c r="M156" s="22"/>
      <c r="N156" s="28" t="s">
        <v>6</v>
      </c>
      <c r="O156" s="42">
        <v>140</v>
      </c>
      <c r="P156" s="43">
        <f t="shared" ref="P156:P161" si="85">O156-82</f>
        <v>58</v>
      </c>
      <c r="Q156" s="5"/>
      <c r="R156" s="5"/>
    </row>
    <row r="157" spans="1:18" ht="15.75">
      <c r="A157" s="6">
        <f t="shared" si="72"/>
        <v>56</v>
      </c>
      <c r="B157" s="6">
        <f t="shared" si="70"/>
        <v>0</v>
      </c>
      <c r="C157" s="6">
        <v>157</v>
      </c>
      <c r="D157" s="6">
        <f t="shared" si="71"/>
        <v>0</v>
      </c>
      <c r="G157" s="22" t="b">
        <f>AND($G$1=4,$G$7=1,'Simulazione 10.1'!$C$4&lt;=20,'Simulazione 10.1'!$C$4&gt;3)</f>
        <v>0</v>
      </c>
      <c r="H157" s="28" t="s">
        <v>7</v>
      </c>
      <c r="I157" s="42">
        <v>137</v>
      </c>
      <c r="J157" s="43">
        <f t="shared" si="82"/>
        <v>55</v>
      </c>
      <c r="K157" s="83">
        <f t="shared" si="83"/>
        <v>0</v>
      </c>
      <c r="L157" s="83">
        <f t="shared" si="84"/>
        <v>0</v>
      </c>
      <c r="M157" s="22"/>
      <c r="N157" s="28" t="s">
        <v>7</v>
      </c>
      <c r="O157" s="42">
        <v>133</v>
      </c>
      <c r="P157" s="43">
        <f t="shared" si="85"/>
        <v>51</v>
      </c>
      <c r="Q157" s="5"/>
      <c r="R157" s="5"/>
    </row>
    <row r="158" spans="1:18" ht="15.75">
      <c r="A158" s="6">
        <f t="shared" si="72"/>
        <v>57</v>
      </c>
      <c r="B158" s="6">
        <f t="shared" si="70"/>
        <v>0</v>
      </c>
      <c r="C158" s="6">
        <v>158</v>
      </c>
      <c r="D158" s="6">
        <f t="shared" si="71"/>
        <v>0</v>
      </c>
      <c r="G158" s="22" t="b">
        <f>AND($G$1=4,$G$7=1,'Simulazione 10.1'!$C$4&lt;=200,'Simulazione 10.1'!$C$4&gt;20)</f>
        <v>0</v>
      </c>
      <c r="H158" s="28" t="s">
        <v>8</v>
      </c>
      <c r="I158" s="42">
        <v>131</v>
      </c>
      <c r="J158" s="43">
        <f t="shared" si="82"/>
        <v>49</v>
      </c>
      <c r="K158" s="83">
        <f t="shared" si="83"/>
        <v>0</v>
      </c>
      <c r="L158" s="83">
        <f t="shared" si="84"/>
        <v>0</v>
      </c>
      <c r="M158" s="22"/>
      <c r="N158" s="28" t="s">
        <v>8</v>
      </c>
      <c r="O158" s="42">
        <v>126</v>
      </c>
      <c r="P158" s="43">
        <f t="shared" si="85"/>
        <v>44</v>
      </c>
      <c r="Q158" s="5"/>
      <c r="R158" s="5"/>
    </row>
    <row r="159" spans="1:18" ht="15.75">
      <c r="A159" s="6">
        <f t="shared" si="72"/>
        <v>58</v>
      </c>
      <c r="B159" s="6">
        <f t="shared" si="70"/>
        <v>0</v>
      </c>
      <c r="C159" s="6">
        <v>159</v>
      </c>
      <c r="D159" s="6">
        <f t="shared" si="71"/>
        <v>0</v>
      </c>
      <c r="G159" s="22" t="b">
        <f>AND($G$1=4,$G$7=1,'Simulazione 10.1'!$C$4&lt;=1000,'Simulazione 10.1'!$C$4&gt;200)</f>
        <v>0</v>
      </c>
      <c r="H159" s="28" t="s">
        <v>9</v>
      </c>
      <c r="I159" s="38">
        <v>111</v>
      </c>
      <c r="J159" s="39">
        <f t="shared" si="82"/>
        <v>29</v>
      </c>
      <c r="K159" s="83">
        <f t="shared" si="83"/>
        <v>0</v>
      </c>
      <c r="L159" s="83">
        <f t="shared" si="84"/>
        <v>0</v>
      </c>
      <c r="M159" s="22"/>
      <c r="N159" s="28" t="s">
        <v>9</v>
      </c>
      <c r="O159" s="38">
        <v>107</v>
      </c>
      <c r="P159" s="39">
        <f t="shared" si="85"/>
        <v>25</v>
      </c>
      <c r="Q159" s="5"/>
      <c r="R159" s="5"/>
    </row>
    <row r="160" spans="1:18" ht="15.75">
      <c r="A160" s="6">
        <f t="shared" si="72"/>
        <v>59</v>
      </c>
      <c r="B160" s="6">
        <f t="shared" si="70"/>
        <v>0</v>
      </c>
      <c r="C160" s="6">
        <v>160</v>
      </c>
      <c r="D160" s="6">
        <f t="shared" si="71"/>
        <v>0</v>
      </c>
      <c r="G160" s="22" t="b">
        <f>AND($G$1=4,$G$7=1,'Simulazione 10.1'!$C$4&lt;=5000,'Simulazione 10.1'!$C$4&gt;1000)</f>
        <v>0</v>
      </c>
      <c r="H160" s="28" t="s">
        <v>10</v>
      </c>
      <c r="I160" s="42">
        <v>105</v>
      </c>
      <c r="J160" s="43">
        <f t="shared" si="82"/>
        <v>23</v>
      </c>
      <c r="K160" s="83">
        <f t="shared" si="83"/>
        <v>0</v>
      </c>
      <c r="L160" s="83">
        <f t="shared" si="84"/>
        <v>0</v>
      </c>
      <c r="M160" s="22"/>
      <c r="N160" s="28" t="s">
        <v>10</v>
      </c>
      <c r="O160" s="42">
        <v>101</v>
      </c>
      <c r="P160" s="43">
        <f t="shared" si="85"/>
        <v>19</v>
      </c>
      <c r="Q160" s="5"/>
      <c r="R160" s="5"/>
    </row>
    <row r="161" spans="1:18" ht="16.5" thickBot="1">
      <c r="A161" s="6">
        <f t="shared" si="72"/>
        <v>60</v>
      </c>
      <c r="B161" s="6">
        <f t="shared" si="70"/>
        <v>0</v>
      </c>
      <c r="C161" s="6">
        <v>161</v>
      </c>
      <c r="D161" s="6">
        <f t="shared" si="71"/>
        <v>0</v>
      </c>
      <c r="G161" s="29" t="b">
        <f>AND($G$1=4,$G$7=1,'Simulazione 10.1'!$C$4&gt;=5000)</f>
        <v>0</v>
      </c>
      <c r="H161" s="30" t="s">
        <v>11</v>
      </c>
      <c r="I161" s="47">
        <v>99</v>
      </c>
      <c r="J161" s="48">
        <f t="shared" si="82"/>
        <v>17</v>
      </c>
      <c r="K161" s="83">
        <f t="shared" si="83"/>
        <v>0</v>
      </c>
      <c r="L161" s="83">
        <f t="shared" si="84"/>
        <v>0</v>
      </c>
      <c r="M161" s="29"/>
      <c r="N161" s="30" t="s">
        <v>11</v>
      </c>
      <c r="O161" s="47">
        <v>95</v>
      </c>
      <c r="P161" s="48">
        <f t="shared" si="85"/>
        <v>13</v>
      </c>
      <c r="Q161" s="5"/>
      <c r="R161" s="5"/>
    </row>
    <row r="162" spans="1:18" ht="16.5" thickBot="1">
      <c r="A162" s="6">
        <f t="shared" si="72"/>
        <v>61</v>
      </c>
      <c r="B162" s="6">
        <f t="shared" si="70"/>
        <v>0</v>
      </c>
      <c r="C162" s="6">
        <v>162</v>
      </c>
      <c r="D162" s="6">
        <f t="shared" si="71"/>
        <v>0</v>
      </c>
      <c r="G162" s="41"/>
      <c r="H162" s="41"/>
      <c r="I162" s="44"/>
      <c r="J162" s="44"/>
      <c r="K162" s="33">
        <f>IF($K$9=3,K156+K157+K158+K159+K160+K161,0)</f>
        <v>0</v>
      </c>
      <c r="L162" s="33">
        <f>IF($K$9=3,L156+L157+L158+L159+L160+L161,0)</f>
        <v>0</v>
      </c>
      <c r="M162" s="41"/>
      <c r="N162" s="44"/>
      <c r="O162" s="44"/>
      <c r="P162" s="44"/>
      <c r="Q162" s="42"/>
      <c r="R162" s="42"/>
    </row>
    <row r="163" spans="1:18">
      <c r="A163" s="6">
        <f t="shared" si="72"/>
        <v>62</v>
      </c>
      <c r="B163" s="6">
        <f t="shared" si="70"/>
        <v>0</v>
      </c>
      <c r="C163" s="6">
        <v>163</v>
      </c>
      <c r="D163" s="6">
        <f t="shared" si="71"/>
        <v>0</v>
      </c>
      <c r="G163" s="2"/>
      <c r="H163" s="28"/>
      <c r="I163" s="5"/>
      <c r="J163" s="5"/>
      <c r="K163" s="5"/>
      <c r="L163" s="5"/>
      <c r="M163" s="2"/>
      <c r="N163" s="28"/>
      <c r="O163" s="5"/>
      <c r="P163" s="5"/>
      <c r="Q163" s="5"/>
      <c r="R163" s="5"/>
    </row>
    <row r="164" spans="1:18">
      <c r="A164" s="6">
        <f t="shared" si="72"/>
        <v>63</v>
      </c>
      <c r="B164" s="6">
        <f t="shared" si="70"/>
        <v>0</v>
      </c>
      <c r="C164" s="6">
        <v>164</v>
      </c>
      <c r="D164" s="6">
        <f t="shared" si="71"/>
        <v>0</v>
      </c>
      <c r="G164" s="2"/>
      <c r="H164" s="28"/>
      <c r="I164" s="5"/>
      <c r="J164" s="5"/>
      <c r="K164" s="5"/>
      <c r="L164" s="5"/>
      <c r="M164" s="2"/>
      <c r="N164" s="28"/>
      <c r="O164" s="5"/>
      <c r="P164" s="5"/>
      <c r="Q164" s="5"/>
      <c r="R164" s="5"/>
    </row>
    <row r="165" spans="1:18">
      <c r="A165" s="6">
        <f t="shared" si="72"/>
        <v>64</v>
      </c>
      <c r="B165" s="6">
        <f t="shared" si="70"/>
        <v>0</v>
      </c>
      <c r="C165" s="6">
        <v>165</v>
      </c>
      <c r="D165" s="6">
        <f t="shared" si="71"/>
        <v>0</v>
      </c>
      <c r="G165" s="2"/>
      <c r="H165" s="2"/>
      <c r="I165" s="5"/>
      <c r="J165" s="5"/>
      <c r="K165" s="5"/>
      <c r="L165" s="5"/>
      <c r="M165" s="2"/>
      <c r="N165" s="5"/>
      <c r="O165" s="5"/>
      <c r="P165" s="5"/>
      <c r="Q165" s="5"/>
      <c r="R165" s="5"/>
    </row>
    <row r="166" spans="1:18">
      <c r="A166" s="6">
        <f t="shared" si="72"/>
        <v>65</v>
      </c>
      <c r="B166" s="6">
        <f t="shared" si="70"/>
        <v>0</v>
      </c>
      <c r="C166" s="6">
        <v>166</v>
      </c>
      <c r="D166" s="6">
        <f t="shared" si="71"/>
        <v>0</v>
      </c>
      <c r="G166" s="2"/>
      <c r="H166" s="2"/>
      <c r="I166" s="2"/>
      <c r="J166" s="2"/>
      <c r="K166" s="2"/>
      <c r="L166" s="2"/>
      <c r="M166" s="2"/>
      <c r="N166" s="2"/>
      <c r="O166" s="2"/>
      <c r="P166" s="2"/>
      <c r="Q166" s="2"/>
      <c r="R166" s="2"/>
    </row>
    <row r="167" spans="1:18">
      <c r="A167" s="6">
        <f t="shared" si="72"/>
        <v>66</v>
      </c>
      <c r="B167" s="6">
        <f t="shared" si="70"/>
        <v>0</v>
      </c>
      <c r="C167" s="6">
        <v>167</v>
      </c>
      <c r="D167" s="6">
        <f t="shared" si="71"/>
        <v>0</v>
      </c>
      <c r="Q167" s="2"/>
      <c r="R167" s="2"/>
    </row>
    <row r="168" spans="1:18" ht="15.75" thickBot="1">
      <c r="A168" s="6">
        <f t="shared" si="72"/>
        <v>67</v>
      </c>
      <c r="B168" s="6">
        <f t="shared" si="70"/>
        <v>0</v>
      </c>
      <c r="C168" s="6">
        <v>168</v>
      </c>
      <c r="D168" s="6">
        <f t="shared" si="71"/>
        <v>0</v>
      </c>
      <c r="Q168" s="2"/>
      <c r="R168" s="2"/>
    </row>
    <row r="169" spans="1:18" ht="15.75">
      <c r="A169" s="6">
        <f t="shared" si="72"/>
        <v>68</v>
      </c>
      <c r="B169" s="6">
        <f t="shared" si="70"/>
        <v>0</v>
      </c>
      <c r="C169" s="6">
        <v>169</v>
      </c>
      <c r="D169" s="6">
        <f t="shared" si="71"/>
        <v>0</v>
      </c>
      <c r="G169" s="62"/>
      <c r="H169" s="63"/>
      <c r="I169" s="64" t="s">
        <v>2</v>
      </c>
      <c r="J169" s="65" t="s">
        <v>3</v>
      </c>
      <c r="K169" s="40"/>
      <c r="L169" s="40"/>
      <c r="M169" s="62"/>
      <c r="N169" s="63"/>
      <c r="O169" s="64" t="s">
        <v>2</v>
      </c>
      <c r="P169" s="65" t="s">
        <v>3</v>
      </c>
      <c r="Q169" s="38"/>
      <c r="R169" s="38"/>
    </row>
    <row r="170" spans="1:18" ht="15.75">
      <c r="A170" s="6">
        <f t="shared" si="72"/>
        <v>69</v>
      </c>
      <c r="B170" s="6">
        <f t="shared" si="70"/>
        <v>0</v>
      </c>
      <c r="C170" s="6">
        <v>170</v>
      </c>
      <c r="D170" s="6">
        <f t="shared" si="71"/>
        <v>0</v>
      </c>
      <c r="G170" s="22" t="b">
        <f>AND($G$1=5,$G$7=1,'Simulazione 10.1'!$C$4&lt;=3,'Simulazione 10.1'!$C$4&gt;=1)</f>
        <v>0</v>
      </c>
      <c r="H170" s="28" t="s">
        <v>6</v>
      </c>
      <c r="I170" s="42">
        <v>133</v>
      </c>
      <c r="J170" s="43">
        <f t="shared" ref="J170:J175" si="86">I170-82</f>
        <v>51</v>
      </c>
      <c r="K170" s="44">
        <f t="shared" ref="K170:K175" si="87">IF(G170=TRUE,I170,0)</f>
        <v>0</v>
      </c>
      <c r="L170" s="83">
        <f t="shared" ref="L170:L175" si="88">IF(G170=TRUE,(J170+P170)/2,0)</f>
        <v>0</v>
      </c>
      <c r="M170" s="22"/>
      <c r="N170" s="28" t="s">
        <v>6</v>
      </c>
      <c r="O170" s="42">
        <v>130</v>
      </c>
      <c r="P170" s="43">
        <f t="shared" ref="P170:P175" si="89">O170-82</f>
        <v>48</v>
      </c>
      <c r="Q170" s="5"/>
      <c r="R170" s="5"/>
    </row>
    <row r="171" spans="1:18" ht="15.75">
      <c r="A171" s="6">
        <f t="shared" si="72"/>
        <v>70</v>
      </c>
      <c r="B171" s="6">
        <f t="shared" si="70"/>
        <v>0</v>
      </c>
      <c r="C171" s="6">
        <v>171</v>
      </c>
      <c r="D171" s="6">
        <f t="shared" si="71"/>
        <v>0</v>
      </c>
      <c r="G171" s="22" t="b">
        <f>AND($G$1=5,$G$7=1,'Simulazione 10.1'!$C$4&lt;=20,'Simulazione 10.1'!$C$4&gt;3)</f>
        <v>0</v>
      </c>
      <c r="H171" s="28" t="s">
        <v>7</v>
      </c>
      <c r="I171" s="42">
        <v>128</v>
      </c>
      <c r="J171" s="43">
        <f t="shared" si="86"/>
        <v>46</v>
      </c>
      <c r="K171" s="44">
        <f t="shared" si="87"/>
        <v>0</v>
      </c>
      <c r="L171" s="83">
        <f t="shared" si="88"/>
        <v>0</v>
      </c>
      <c r="M171" s="22"/>
      <c r="N171" s="28" t="s">
        <v>7</v>
      </c>
      <c r="O171" s="42">
        <v>124</v>
      </c>
      <c r="P171" s="43">
        <f t="shared" si="89"/>
        <v>42</v>
      </c>
      <c r="Q171" s="5"/>
      <c r="R171" s="5"/>
    </row>
    <row r="172" spans="1:18" ht="15.75">
      <c r="A172" s="6">
        <f t="shared" si="72"/>
        <v>71</v>
      </c>
      <c r="B172" s="6">
        <f t="shared" si="70"/>
        <v>0</v>
      </c>
      <c r="C172" s="6">
        <v>172</v>
      </c>
      <c r="D172" s="6">
        <f t="shared" si="71"/>
        <v>0</v>
      </c>
      <c r="G172" s="22" t="b">
        <f>AND($G$1=5,$G$7=1,'Simulazione 10.1'!$C$4&lt;=200,'Simulazione 10.1'!$C$4&gt;20)</f>
        <v>0</v>
      </c>
      <c r="H172" s="28" t="s">
        <v>8</v>
      </c>
      <c r="I172" s="42">
        <v>122</v>
      </c>
      <c r="J172" s="43">
        <f t="shared" si="86"/>
        <v>40</v>
      </c>
      <c r="K172" s="44">
        <f t="shared" si="87"/>
        <v>0</v>
      </c>
      <c r="L172" s="83">
        <f t="shared" si="88"/>
        <v>0</v>
      </c>
      <c r="M172" s="22"/>
      <c r="N172" s="28" t="s">
        <v>8</v>
      </c>
      <c r="O172" s="42">
        <v>118</v>
      </c>
      <c r="P172" s="43">
        <f t="shared" si="89"/>
        <v>36</v>
      </c>
      <c r="Q172" s="5"/>
      <c r="R172" s="5"/>
    </row>
    <row r="173" spans="1:18" ht="15.75">
      <c r="A173" s="6">
        <f t="shared" si="72"/>
        <v>72</v>
      </c>
      <c r="B173" s="6">
        <f t="shared" si="70"/>
        <v>0</v>
      </c>
      <c r="C173" s="6">
        <v>173</v>
      </c>
      <c r="D173" s="6">
        <f t="shared" si="71"/>
        <v>0</v>
      </c>
      <c r="G173" s="22" t="b">
        <f>AND($G$1=5,$G$7=1,'Simulazione 10.1'!$C$4&lt;=1000,'Simulazione 10.1'!$C$4&gt;200)</f>
        <v>0</v>
      </c>
      <c r="H173" s="28" t="s">
        <v>9</v>
      </c>
      <c r="I173" s="38">
        <v>106</v>
      </c>
      <c r="J173" s="39">
        <f t="shared" si="86"/>
        <v>24</v>
      </c>
      <c r="K173" s="40">
        <f t="shared" si="87"/>
        <v>0</v>
      </c>
      <c r="L173" s="83">
        <f t="shared" si="88"/>
        <v>0</v>
      </c>
      <c r="M173" s="22"/>
      <c r="N173" s="28" t="s">
        <v>9</v>
      </c>
      <c r="O173" s="38">
        <v>102</v>
      </c>
      <c r="P173" s="39">
        <f t="shared" si="89"/>
        <v>20</v>
      </c>
      <c r="Q173" s="5"/>
      <c r="R173" s="5"/>
    </row>
    <row r="174" spans="1:18" ht="15.75">
      <c r="A174" s="6">
        <f t="shared" si="72"/>
        <v>73</v>
      </c>
      <c r="B174" s="6">
        <f t="shared" si="70"/>
        <v>0</v>
      </c>
      <c r="C174" s="6">
        <v>174</v>
      </c>
      <c r="D174" s="6">
        <f t="shared" si="71"/>
        <v>0</v>
      </c>
      <c r="G174" s="22" t="b">
        <f>AND($G$1=5,$G$7=1,'Simulazione 10.1'!$C$4&lt;=5000,'Simulazione 10.1'!$C$4&gt;1000)</f>
        <v>0</v>
      </c>
      <c r="H174" s="28" t="s">
        <v>10</v>
      </c>
      <c r="I174" s="42">
        <v>100</v>
      </c>
      <c r="J174" s="43">
        <f t="shared" si="86"/>
        <v>18</v>
      </c>
      <c r="K174" s="44">
        <f t="shared" si="87"/>
        <v>0</v>
      </c>
      <c r="L174" s="83">
        <f t="shared" si="88"/>
        <v>0</v>
      </c>
      <c r="M174" s="22"/>
      <c r="N174" s="28" t="s">
        <v>10</v>
      </c>
      <c r="O174" s="42">
        <v>97</v>
      </c>
      <c r="P174" s="43">
        <f t="shared" si="89"/>
        <v>15</v>
      </c>
      <c r="Q174" s="5"/>
      <c r="R174" s="5"/>
    </row>
    <row r="175" spans="1:18" ht="16.5" thickBot="1">
      <c r="A175" s="6">
        <f t="shared" si="72"/>
        <v>74</v>
      </c>
      <c r="B175" s="6">
        <f t="shared" si="70"/>
        <v>0</v>
      </c>
      <c r="C175" s="6">
        <v>175</v>
      </c>
      <c r="D175" s="6">
        <f t="shared" si="71"/>
        <v>0</v>
      </c>
      <c r="G175" s="29" t="b">
        <f>AND($G$1=5,$G$7=1,'Simulazione 10.1'!$C$4&gt;=5000)</f>
        <v>0</v>
      </c>
      <c r="H175" s="30" t="s">
        <v>11</v>
      </c>
      <c r="I175" s="47">
        <v>95</v>
      </c>
      <c r="J175" s="48">
        <f t="shared" si="86"/>
        <v>13</v>
      </c>
      <c r="K175" s="44">
        <f t="shared" si="87"/>
        <v>0</v>
      </c>
      <c r="L175" s="83">
        <f t="shared" si="88"/>
        <v>0</v>
      </c>
      <c r="M175" s="29"/>
      <c r="N175" s="30" t="s">
        <v>11</v>
      </c>
      <c r="O175" s="47">
        <v>92</v>
      </c>
      <c r="P175" s="48">
        <f t="shared" si="89"/>
        <v>10</v>
      </c>
      <c r="Q175" s="5"/>
      <c r="R175" s="5"/>
    </row>
    <row r="176" spans="1:18" ht="16.5" thickBot="1">
      <c r="A176" s="6">
        <f t="shared" si="72"/>
        <v>75</v>
      </c>
      <c r="B176" s="6">
        <f t="shared" si="70"/>
        <v>0</v>
      </c>
      <c r="C176" s="6">
        <v>176</v>
      </c>
      <c r="D176" s="6">
        <f t="shared" si="71"/>
        <v>0</v>
      </c>
      <c r="G176" s="41"/>
      <c r="H176" s="41"/>
      <c r="I176" s="44"/>
      <c r="J176" s="44"/>
      <c r="K176" s="33">
        <f>IF($K$9=3,K170+K171+K172+K173+K174+K175,0)</f>
        <v>0</v>
      </c>
      <c r="L176" s="33">
        <f>IF($K$9=3,L170+L171+L172+L173+L174+L175,0)</f>
        <v>0</v>
      </c>
      <c r="M176" s="44"/>
      <c r="N176" s="44"/>
      <c r="O176" s="44"/>
      <c r="P176" s="44"/>
      <c r="Q176" s="42"/>
      <c r="R176" s="42"/>
    </row>
    <row r="177" spans="1:18">
      <c r="A177" s="6">
        <f t="shared" si="72"/>
        <v>76</v>
      </c>
      <c r="B177" s="6">
        <f t="shared" si="70"/>
        <v>0</v>
      </c>
      <c r="C177" s="6">
        <v>177</v>
      </c>
      <c r="D177" s="6">
        <f t="shared" si="71"/>
        <v>0</v>
      </c>
      <c r="Q177" s="2"/>
      <c r="R177" s="2"/>
    </row>
    <row r="178" spans="1:18">
      <c r="A178" s="6">
        <f t="shared" si="72"/>
        <v>77</v>
      </c>
      <c r="B178" s="6">
        <f t="shared" si="70"/>
        <v>0</v>
      </c>
      <c r="C178" s="6">
        <v>178</v>
      </c>
      <c r="D178" s="6">
        <f t="shared" si="71"/>
        <v>0</v>
      </c>
      <c r="Q178" s="2"/>
      <c r="R178" s="2"/>
    </row>
    <row r="179" spans="1:18">
      <c r="A179" s="6">
        <f t="shared" si="72"/>
        <v>78</v>
      </c>
      <c r="B179" s="6">
        <f t="shared" si="70"/>
        <v>0</v>
      </c>
      <c r="C179" s="6">
        <v>179</v>
      </c>
      <c r="D179" s="6">
        <f t="shared" si="71"/>
        <v>0</v>
      </c>
      <c r="Q179" s="2"/>
      <c r="R179" s="2"/>
    </row>
    <row r="180" spans="1:18">
      <c r="A180" s="6">
        <f t="shared" si="72"/>
        <v>79</v>
      </c>
      <c r="B180" s="6">
        <f t="shared" si="70"/>
        <v>0</v>
      </c>
      <c r="C180" s="6">
        <v>180</v>
      </c>
      <c r="D180" s="6">
        <f t="shared" si="71"/>
        <v>0</v>
      </c>
      <c r="G180" s="524" t="s">
        <v>113</v>
      </c>
      <c r="H180" s="524"/>
      <c r="I180" s="524"/>
      <c r="Q180" s="2"/>
      <c r="R180" s="2"/>
    </row>
    <row r="181" spans="1:18">
      <c r="A181" s="6">
        <f t="shared" si="72"/>
        <v>80</v>
      </c>
      <c r="B181" s="6">
        <f t="shared" si="70"/>
        <v>0</v>
      </c>
      <c r="C181" s="6">
        <v>181</v>
      </c>
      <c r="D181" s="6">
        <f t="shared" si="71"/>
        <v>0</v>
      </c>
      <c r="Q181" s="2"/>
      <c r="R181" s="2"/>
    </row>
    <row r="182" spans="1:18" ht="15.75" thickBot="1">
      <c r="A182" s="6">
        <f t="shared" si="72"/>
        <v>81</v>
      </c>
      <c r="B182" s="6">
        <f t="shared" si="70"/>
        <v>0</v>
      </c>
      <c r="C182" s="6">
        <v>182</v>
      </c>
      <c r="D182" s="6">
        <f t="shared" si="71"/>
        <v>0</v>
      </c>
      <c r="M182" s="2"/>
      <c r="N182" s="2"/>
      <c r="O182" s="2"/>
      <c r="P182" s="2"/>
      <c r="Q182" s="2"/>
      <c r="R182" s="2"/>
    </row>
    <row r="183" spans="1:18">
      <c r="A183" s="6">
        <f t="shared" si="72"/>
        <v>82</v>
      </c>
      <c r="B183" s="6">
        <f t="shared" si="70"/>
        <v>0</v>
      </c>
      <c r="C183" s="6">
        <v>183</v>
      </c>
      <c r="D183" s="6">
        <f t="shared" si="71"/>
        <v>0</v>
      </c>
      <c r="G183" s="23"/>
      <c r="H183" s="15"/>
      <c r="I183" s="518" t="s">
        <v>4</v>
      </c>
      <c r="J183" s="519"/>
      <c r="K183" s="83"/>
      <c r="L183" s="83"/>
      <c r="M183" s="5"/>
      <c r="N183" s="2"/>
      <c r="O183" s="520"/>
      <c r="P183" s="520"/>
      <c r="Q183" s="2"/>
      <c r="R183" s="2"/>
    </row>
    <row r="184" spans="1:18">
      <c r="A184" s="6">
        <f t="shared" si="72"/>
        <v>83</v>
      </c>
      <c r="B184" s="6">
        <f t="shared" si="70"/>
        <v>0</v>
      </c>
      <c r="C184" s="6">
        <v>184</v>
      </c>
      <c r="D184" s="6">
        <f t="shared" si="71"/>
        <v>0</v>
      </c>
      <c r="G184" s="22"/>
      <c r="H184" s="2"/>
      <c r="I184" s="5" t="s">
        <v>2</v>
      </c>
      <c r="J184" s="26" t="s">
        <v>3</v>
      </c>
      <c r="K184" s="83"/>
      <c r="L184" s="83"/>
      <c r="M184" s="5"/>
      <c r="N184" s="2"/>
      <c r="O184" s="5"/>
      <c r="P184" s="5"/>
      <c r="Q184" s="2"/>
      <c r="R184" s="2"/>
    </row>
    <row r="185" spans="1:18">
      <c r="A185" s="6">
        <f t="shared" si="72"/>
        <v>84</v>
      </c>
      <c r="B185" s="6">
        <f t="shared" si="70"/>
        <v>0</v>
      </c>
      <c r="C185" s="6">
        <v>185</v>
      </c>
      <c r="D185" s="6">
        <f t="shared" si="71"/>
        <v>0</v>
      </c>
      <c r="G185" s="22" t="b">
        <f>AND($G$1=1,'Simulazione 10.1'!$C$4&lt;=20,'Simulazione 10.1'!$C$4&gt;=1)</f>
        <v>0</v>
      </c>
      <c r="H185" s="28" t="s">
        <v>115</v>
      </c>
      <c r="I185" s="5">
        <v>288</v>
      </c>
      <c r="J185" s="26">
        <v>186</v>
      </c>
      <c r="K185" s="83">
        <f>IF(G185=TRUE,I185,0)</f>
        <v>0</v>
      </c>
      <c r="L185" s="83">
        <f>IF(G185=TRUE,J185,0)</f>
        <v>0</v>
      </c>
      <c r="M185" s="2"/>
      <c r="N185" s="28"/>
      <c r="O185" s="5"/>
      <c r="P185" s="5"/>
      <c r="Q185" s="2"/>
      <c r="R185" s="2"/>
    </row>
    <row r="186" spans="1:18">
      <c r="A186" s="6">
        <f t="shared" si="72"/>
        <v>85</v>
      </c>
      <c r="B186" s="6">
        <f t="shared" si="70"/>
        <v>0</v>
      </c>
      <c r="C186" s="6">
        <v>186</v>
      </c>
      <c r="D186" s="6">
        <f t="shared" si="71"/>
        <v>0</v>
      </c>
      <c r="G186" s="22" t="b">
        <f>AND($G$1=1,'Simulazione 10.1'!$C$4&lt;=200,'Simulazione 10.1'!$C$4&gt;20)</f>
        <v>0</v>
      </c>
      <c r="H186" s="28" t="s">
        <v>8</v>
      </c>
      <c r="I186" s="5">
        <v>276</v>
      </c>
      <c r="J186" s="26">
        <v>174</v>
      </c>
      <c r="K186" s="83">
        <f t="shared" ref="K186:K187" si="90">IF(G186=TRUE,I186,0)</f>
        <v>0</v>
      </c>
      <c r="L186" s="83">
        <f>IF(G186=TRUE,J186,0)</f>
        <v>0</v>
      </c>
      <c r="M186" s="2"/>
      <c r="N186" s="28"/>
      <c r="O186" s="5"/>
      <c r="P186" s="5"/>
      <c r="Q186" s="2"/>
      <c r="R186" s="2"/>
    </row>
    <row r="187" spans="1:18" ht="15.75" thickBot="1">
      <c r="A187" s="6">
        <f t="shared" si="72"/>
        <v>86</v>
      </c>
      <c r="B187" s="6">
        <f t="shared" si="70"/>
        <v>0</v>
      </c>
      <c r="C187" s="6">
        <v>187</v>
      </c>
      <c r="D187" s="6">
        <f t="shared" si="71"/>
        <v>0</v>
      </c>
      <c r="G187" s="29" t="b">
        <f>AND($G$1=1,'Simulazione 10.1'!$C$4&gt;200)</f>
        <v>0</v>
      </c>
      <c r="H187" s="30" t="s">
        <v>116</v>
      </c>
      <c r="I187" s="31">
        <v>255</v>
      </c>
      <c r="J187" s="32">
        <v>153</v>
      </c>
      <c r="K187" s="83">
        <f t="shared" si="90"/>
        <v>0</v>
      </c>
      <c r="L187" s="83">
        <f>IF(G187=TRUE,J187,0)</f>
        <v>0</v>
      </c>
      <c r="M187" s="2"/>
      <c r="N187" s="28"/>
      <c r="O187" s="5"/>
      <c r="P187" s="5"/>
      <c r="Q187" s="2"/>
      <c r="R187" s="2"/>
    </row>
    <row r="188" spans="1:18" ht="15.75" thickBot="1">
      <c r="A188" s="6">
        <f t="shared" si="72"/>
        <v>87</v>
      </c>
      <c r="B188" s="6">
        <f t="shared" si="70"/>
        <v>0</v>
      </c>
      <c r="C188" s="6">
        <v>188</v>
      </c>
      <c r="D188" s="6">
        <f t="shared" si="71"/>
        <v>0</v>
      </c>
      <c r="I188" s="83"/>
      <c r="J188" s="83"/>
      <c r="K188" s="33">
        <f>IF($K$9=2,K185+K186+K187,0)</f>
        <v>0</v>
      </c>
      <c r="L188" s="33">
        <f>IF($K$9=2,L185+L186+L187,0)</f>
        <v>0</v>
      </c>
      <c r="M188" s="2"/>
      <c r="N188" s="5"/>
      <c r="O188" s="5"/>
      <c r="P188" s="5"/>
      <c r="Q188" s="2"/>
      <c r="R188" s="2"/>
    </row>
    <row r="189" spans="1:18" ht="15.75" thickBot="1">
      <c r="A189" s="6">
        <f t="shared" si="72"/>
        <v>88</v>
      </c>
      <c r="B189" s="6">
        <f t="shared" si="70"/>
        <v>0</v>
      </c>
      <c r="C189" s="6">
        <v>189</v>
      </c>
      <c r="D189" s="6">
        <f t="shared" si="71"/>
        <v>0</v>
      </c>
      <c r="M189" s="2"/>
      <c r="N189" s="2"/>
      <c r="O189" s="2"/>
      <c r="P189" s="2"/>
      <c r="Q189" s="2"/>
      <c r="R189" s="2"/>
    </row>
    <row r="190" spans="1:18">
      <c r="A190" s="6">
        <f t="shared" si="72"/>
        <v>89</v>
      </c>
      <c r="B190" s="6">
        <f t="shared" si="70"/>
        <v>0</v>
      </c>
      <c r="C190" s="6">
        <v>190</v>
      </c>
      <c r="D190" s="6">
        <f t="shared" si="71"/>
        <v>0</v>
      </c>
      <c r="G190" s="23"/>
      <c r="H190" s="15"/>
      <c r="I190" s="518" t="s">
        <v>4</v>
      </c>
      <c r="J190" s="519"/>
      <c r="K190" s="83"/>
      <c r="L190" s="83"/>
      <c r="M190" s="2"/>
      <c r="N190" s="2"/>
      <c r="O190" s="2"/>
      <c r="P190" s="2"/>
      <c r="Q190" s="2"/>
      <c r="R190" s="2"/>
    </row>
    <row r="191" spans="1:18">
      <c r="A191" s="6">
        <f t="shared" si="72"/>
        <v>90</v>
      </c>
      <c r="B191" s="6">
        <f t="shared" si="70"/>
        <v>0</v>
      </c>
      <c r="C191" s="6">
        <v>191</v>
      </c>
      <c r="D191" s="6">
        <f t="shared" si="71"/>
        <v>0</v>
      </c>
      <c r="G191" s="22"/>
      <c r="H191" s="2"/>
      <c r="I191" s="5" t="s">
        <v>2</v>
      </c>
      <c r="J191" s="26" t="s">
        <v>3</v>
      </c>
      <c r="K191" s="83"/>
      <c r="L191" s="83"/>
      <c r="M191" s="2"/>
      <c r="N191" s="2"/>
      <c r="O191" s="2"/>
      <c r="P191" s="2"/>
      <c r="Q191" s="2"/>
      <c r="R191" s="2"/>
    </row>
    <row r="192" spans="1:18">
      <c r="A192" s="6">
        <f t="shared" si="72"/>
        <v>91</v>
      </c>
      <c r="B192" s="6">
        <f t="shared" si="70"/>
        <v>0</v>
      </c>
      <c r="C192" s="6">
        <v>192</v>
      </c>
      <c r="D192" s="6">
        <f t="shared" si="71"/>
        <v>0</v>
      </c>
      <c r="G192" s="22" t="b">
        <f>AND($G$1=2,'Simulazione 10.1'!$C$4&lt;=20,'Simulazione 10.1'!$C$4&gt;=1)</f>
        <v>0</v>
      </c>
      <c r="H192" s="28" t="s">
        <v>115</v>
      </c>
      <c r="I192" s="5">
        <v>242</v>
      </c>
      <c r="J192" s="26">
        <v>160</v>
      </c>
      <c r="K192" s="83">
        <f t="shared" ref="K192:K194" si="91">IF(G192=TRUE,I192,0)</f>
        <v>0</v>
      </c>
      <c r="L192" s="83">
        <f t="shared" ref="L192:L194" si="92">IF(G192=TRUE,J192,0)</f>
        <v>0</v>
      </c>
      <c r="M192" s="2"/>
      <c r="N192" s="2"/>
      <c r="O192" s="2"/>
      <c r="P192" s="2"/>
      <c r="Q192" s="2"/>
      <c r="R192" s="2"/>
    </row>
    <row r="193" spans="1:18">
      <c r="A193" s="6">
        <f t="shared" si="72"/>
        <v>92</v>
      </c>
      <c r="B193" s="6">
        <f t="shared" si="70"/>
        <v>0</v>
      </c>
      <c r="C193" s="6">
        <v>193</v>
      </c>
      <c r="D193" s="6">
        <f t="shared" si="71"/>
        <v>0</v>
      </c>
      <c r="G193" s="22" t="b">
        <f>AND($G$1=2,'Simulazione 10.1'!$C$4&lt;=200,'Simulazione 10.1'!$C$4&gt;20)</f>
        <v>0</v>
      </c>
      <c r="H193" s="28" t="s">
        <v>8</v>
      </c>
      <c r="I193" s="5">
        <v>231</v>
      </c>
      <c r="J193" s="26">
        <v>149</v>
      </c>
      <c r="K193" s="83">
        <f t="shared" si="91"/>
        <v>0</v>
      </c>
      <c r="L193" s="83">
        <f t="shared" si="92"/>
        <v>0</v>
      </c>
      <c r="M193" s="2"/>
      <c r="N193" s="2"/>
      <c r="O193" s="2"/>
      <c r="P193" s="2"/>
      <c r="Q193" s="2"/>
      <c r="R193" s="2"/>
    </row>
    <row r="194" spans="1:18" ht="15.75" thickBot="1">
      <c r="A194" s="6">
        <f t="shared" si="72"/>
        <v>93</v>
      </c>
      <c r="B194" s="6">
        <f t="shared" ref="B194:B201" si="93">IF($E$1=C194,1,0)</f>
        <v>0</v>
      </c>
      <c r="C194" s="6">
        <v>194</v>
      </c>
      <c r="D194" s="6">
        <f t="shared" ref="D194:D201" si="94">IF(B194=1,A194,0)</f>
        <v>0</v>
      </c>
      <c r="G194" s="29" t="b">
        <f>AND($G$1=2,'Simulazione 10.1'!$C$4&gt;200)</f>
        <v>0</v>
      </c>
      <c r="H194" s="30" t="s">
        <v>116</v>
      </c>
      <c r="I194" s="31">
        <v>217</v>
      </c>
      <c r="J194" s="32">
        <v>135</v>
      </c>
      <c r="K194" s="83">
        <f t="shared" si="91"/>
        <v>0</v>
      </c>
      <c r="L194" s="83">
        <f t="shared" si="92"/>
        <v>0</v>
      </c>
      <c r="M194" s="2"/>
      <c r="N194" s="2"/>
      <c r="O194" s="2"/>
      <c r="P194" s="2"/>
      <c r="Q194" s="2"/>
      <c r="R194" s="2"/>
    </row>
    <row r="195" spans="1:18" ht="15.75" thickBot="1">
      <c r="A195" s="6">
        <f t="shared" ref="A195:A201" si="95">A194+1</f>
        <v>94</v>
      </c>
      <c r="B195" s="6">
        <f t="shared" si="93"/>
        <v>0</v>
      </c>
      <c r="C195" s="6">
        <v>195</v>
      </c>
      <c r="D195" s="6">
        <f t="shared" si="94"/>
        <v>0</v>
      </c>
      <c r="I195" s="83"/>
      <c r="J195" s="83"/>
      <c r="K195" s="33">
        <f>IF($K$9=2,K192+K193+K194,0)</f>
        <v>0</v>
      </c>
      <c r="L195" s="33">
        <f>IF($K$9=2,L192+L193+L194,0)</f>
        <v>0</v>
      </c>
      <c r="Q195" s="2"/>
      <c r="R195" s="2"/>
    </row>
    <row r="196" spans="1:18">
      <c r="A196" s="6">
        <f t="shared" si="95"/>
        <v>95</v>
      </c>
      <c r="B196" s="6">
        <f t="shared" si="93"/>
        <v>0</v>
      </c>
      <c r="C196" s="6">
        <v>196</v>
      </c>
      <c r="D196" s="6">
        <f t="shared" si="94"/>
        <v>0</v>
      </c>
      <c r="Q196" s="2"/>
      <c r="R196" s="2"/>
    </row>
    <row r="197" spans="1:18" ht="15.75" thickBot="1">
      <c r="A197" s="6">
        <f t="shared" si="95"/>
        <v>96</v>
      </c>
      <c r="B197" s="6">
        <f t="shared" si="93"/>
        <v>0</v>
      </c>
      <c r="C197" s="6">
        <v>197</v>
      </c>
      <c r="D197" s="6">
        <f t="shared" si="94"/>
        <v>0</v>
      </c>
      <c r="Q197" s="2"/>
      <c r="R197" s="2"/>
    </row>
    <row r="198" spans="1:18">
      <c r="A198" s="6">
        <f t="shared" si="95"/>
        <v>97</v>
      </c>
      <c r="B198" s="6">
        <f t="shared" si="93"/>
        <v>0</v>
      </c>
      <c r="C198" s="6">
        <v>198</v>
      </c>
      <c r="D198" s="6">
        <f t="shared" si="94"/>
        <v>0</v>
      </c>
      <c r="G198" s="23"/>
      <c r="H198" s="15"/>
      <c r="I198" s="518" t="s">
        <v>4</v>
      </c>
      <c r="J198" s="519"/>
      <c r="K198" s="83"/>
      <c r="L198" s="83"/>
      <c r="Q198" s="2"/>
      <c r="R198" s="2"/>
    </row>
    <row r="199" spans="1:18">
      <c r="A199" s="6">
        <f t="shared" si="95"/>
        <v>98</v>
      </c>
      <c r="B199" s="6">
        <f t="shared" si="93"/>
        <v>0</v>
      </c>
      <c r="C199" s="6">
        <v>199</v>
      </c>
      <c r="D199" s="6">
        <f t="shared" si="94"/>
        <v>0</v>
      </c>
      <c r="G199" s="22"/>
      <c r="H199" s="2"/>
      <c r="I199" s="5" t="s">
        <v>2</v>
      </c>
      <c r="J199" s="26" t="s">
        <v>3</v>
      </c>
      <c r="K199" s="83"/>
      <c r="L199" s="83"/>
    </row>
    <row r="200" spans="1:18">
      <c r="A200" s="6">
        <f t="shared" si="95"/>
        <v>99</v>
      </c>
      <c r="B200" s="6">
        <f t="shared" si="93"/>
        <v>0</v>
      </c>
      <c r="C200" s="6">
        <v>200</v>
      </c>
      <c r="D200" s="6">
        <f t="shared" si="94"/>
        <v>0</v>
      </c>
      <c r="G200" s="22" t="b">
        <f>AND($G$1=3,'Simulazione 10.1'!$C$4&lt;=20,'Simulazione 10.1'!$C$4&gt;=1)</f>
        <v>0</v>
      </c>
      <c r="H200" s="28" t="s">
        <v>115</v>
      </c>
      <c r="I200" s="5">
        <v>218</v>
      </c>
      <c r="J200" s="26">
        <v>144</v>
      </c>
      <c r="K200" s="83">
        <f t="shared" ref="K200:K202" si="96">IF(G200=TRUE,I200,0)</f>
        <v>0</v>
      </c>
      <c r="L200" s="83">
        <f t="shared" ref="L200:L201" si="97">IF(G200=TRUE,J200,0)</f>
        <v>0</v>
      </c>
    </row>
    <row r="201" spans="1:18">
      <c r="A201" s="6">
        <f t="shared" si="95"/>
        <v>100</v>
      </c>
      <c r="B201" s="6">
        <f t="shared" si="93"/>
        <v>0</v>
      </c>
      <c r="C201" s="6">
        <v>201</v>
      </c>
      <c r="D201" s="6">
        <f t="shared" si="94"/>
        <v>0</v>
      </c>
      <c r="G201" s="22" t="b">
        <f>AND($G$1=3,'Simulazione 10.1'!$C$4&lt;=200,'Simulazione 10.1'!$C$4&gt;20)</f>
        <v>0</v>
      </c>
      <c r="H201" s="28" t="s">
        <v>8</v>
      </c>
      <c r="I201" s="5">
        <v>208</v>
      </c>
      <c r="J201" s="26">
        <v>134</v>
      </c>
      <c r="K201" s="83">
        <f t="shared" si="96"/>
        <v>0</v>
      </c>
      <c r="L201" s="83">
        <f t="shared" si="97"/>
        <v>0</v>
      </c>
    </row>
    <row r="202" spans="1:18" ht="15.75" thickBot="1">
      <c r="G202" s="29" t="b">
        <f>AND($G$1=3,'Simulazione 10.1'!$C$4&gt;200)</f>
        <v>1</v>
      </c>
      <c r="H202" s="30" t="s">
        <v>116</v>
      </c>
      <c r="I202" s="31">
        <v>195</v>
      </c>
      <c r="J202" s="32">
        <v>121</v>
      </c>
      <c r="K202" s="83">
        <f t="shared" si="96"/>
        <v>195</v>
      </c>
      <c r="L202" s="83">
        <f>IF(G202=TRUE,(J202+P202)/2,0)</f>
        <v>60.5</v>
      </c>
    </row>
    <row r="203" spans="1:18" ht="15.75" thickBot="1">
      <c r="D203" s="6">
        <f>SUM(D1:D202)</f>
        <v>38</v>
      </c>
      <c r="I203" s="83"/>
      <c r="J203" s="83"/>
      <c r="K203" s="33">
        <f>IF($K$9=2,K200+K201+K202,0)</f>
        <v>0</v>
      </c>
      <c r="L203" s="33">
        <f>IF($K$9=2,L200+L201+L202,0)</f>
        <v>0</v>
      </c>
    </row>
    <row r="205" spans="1:18" ht="15.75" thickBot="1"/>
    <row r="206" spans="1:18">
      <c r="A206" s="6" t="s">
        <v>272</v>
      </c>
      <c r="B206" s="454">
        <f>IRR('Simulazione 10.1'!E101:X101)</f>
        <v>0.24243066454902762</v>
      </c>
      <c r="C206" s="6">
        <f>IFERROR(B206,0)</f>
        <v>0.24243066454902762</v>
      </c>
      <c r="D206" s="455">
        <f>C206</f>
        <v>0.24243066454902762</v>
      </c>
      <c r="G206" s="23"/>
      <c r="H206" s="15"/>
      <c r="I206" s="518" t="s">
        <v>4</v>
      </c>
      <c r="J206" s="519"/>
      <c r="K206" s="83"/>
      <c r="L206" s="83"/>
    </row>
    <row r="207" spans="1:18">
      <c r="A207" s="6" t="s">
        <v>273</v>
      </c>
      <c r="B207" s="454">
        <f>IRR('Simulazione 10.1'!E101:AC101)</f>
        <v>0.2457194808536734</v>
      </c>
      <c r="C207" s="6">
        <f>IFERROR(B207,0)</f>
        <v>0.2457194808536734</v>
      </c>
      <c r="D207" s="455">
        <f>C207</f>
        <v>0.2457194808536734</v>
      </c>
      <c r="G207" s="22"/>
      <c r="H207" s="2"/>
      <c r="I207" s="5" t="s">
        <v>2</v>
      </c>
      <c r="J207" s="26" t="s">
        <v>3</v>
      </c>
      <c r="K207" s="83"/>
      <c r="L207" s="83"/>
    </row>
    <row r="208" spans="1:18">
      <c r="G208" s="22" t="b">
        <f>AND($G$1=4,'Simulazione 10.1'!$C$4&lt;=20,'Simulazione 10.1'!$C$4&gt;=1)</f>
        <v>0</v>
      </c>
      <c r="H208" s="28" t="s">
        <v>115</v>
      </c>
      <c r="I208" s="5">
        <v>196</v>
      </c>
      <c r="J208" s="26">
        <v>130</v>
      </c>
      <c r="K208" s="83">
        <f t="shared" ref="K208:K210" si="98">IF(G208=TRUE,I208,0)</f>
        <v>0</v>
      </c>
      <c r="L208" s="83">
        <f t="shared" ref="L208:L210" si="99">IF(G208=TRUE,J208,0)</f>
        <v>0</v>
      </c>
    </row>
    <row r="209" spans="5:31">
      <c r="G209" s="22" t="b">
        <f>AND($G$1=4,'Simulazione 10.1'!$C$4&lt;=200,'Simulazione 10.1'!$C$4&gt;20)</f>
        <v>0</v>
      </c>
      <c r="H209" s="28" t="s">
        <v>8</v>
      </c>
      <c r="I209" s="5">
        <v>187</v>
      </c>
      <c r="J209" s="26">
        <v>121</v>
      </c>
      <c r="K209" s="83">
        <f t="shared" si="98"/>
        <v>0</v>
      </c>
      <c r="L209" s="83">
        <f t="shared" si="99"/>
        <v>0</v>
      </c>
    </row>
    <row r="210" spans="5:31" ht="15.75" thickBot="1">
      <c r="G210" s="29" t="b">
        <f>AND($G$1=4,'Simulazione 10.1'!$C$4&gt;200)</f>
        <v>0</v>
      </c>
      <c r="H210" s="30" t="s">
        <v>116</v>
      </c>
      <c r="I210" s="31">
        <v>176</v>
      </c>
      <c r="J210" s="32">
        <v>109</v>
      </c>
      <c r="K210" s="83">
        <f t="shared" si="98"/>
        <v>0</v>
      </c>
      <c r="L210" s="83">
        <f t="shared" si="99"/>
        <v>0</v>
      </c>
    </row>
    <row r="211" spans="5:31" ht="15.75" thickBot="1">
      <c r="I211" s="83"/>
      <c r="J211" s="83"/>
      <c r="K211" s="33">
        <f>IF($K$9=2,K208+K209+K210,0)</f>
        <v>0</v>
      </c>
      <c r="L211" s="33">
        <f>IF($K$9=2,L208+L209+L210,0)</f>
        <v>0</v>
      </c>
    </row>
    <row r="213" spans="5:31" ht="15.75" thickBot="1"/>
    <row r="214" spans="5:31">
      <c r="G214" s="23"/>
      <c r="H214" s="15"/>
      <c r="I214" s="518" t="s">
        <v>4</v>
      </c>
      <c r="J214" s="519"/>
      <c r="K214" s="83"/>
      <c r="L214" s="83"/>
    </row>
    <row r="215" spans="5:31">
      <c r="G215" s="22"/>
      <c r="H215" s="2"/>
      <c r="I215" s="5" t="s">
        <v>2</v>
      </c>
      <c r="J215" s="26" t="s">
        <v>3</v>
      </c>
      <c r="K215" s="83"/>
      <c r="L215" s="83"/>
    </row>
    <row r="216" spans="5:31">
      <c r="G216" s="22" t="b">
        <f>AND($G$1=5,'Simulazione 10.1'!$C$4&lt;=20,'Simulazione 10.1'!$C$4&gt;=1)</f>
        <v>0</v>
      </c>
      <c r="H216" s="28" t="s">
        <v>115</v>
      </c>
      <c r="I216" s="5">
        <v>176</v>
      </c>
      <c r="J216" s="26">
        <v>117</v>
      </c>
      <c r="K216" s="83">
        <f t="shared" ref="K216:K218" si="100">IF(G216=TRUE,I216,0)</f>
        <v>0</v>
      </c>
      <c r="L216" s="83">
        <f t="shared" ref="L216:L218" si="101">IF(G216=TRUE,J216,0)</f>
        <v>0</v>
      </c>
    </row>
    <row r="217" spans="5:31">
      <c r="G217" s="22" t="b">
        <f>AND($G$1=5,'Simulazione 10.1'!$C$4&lt;=200,'Simulazione 10.1'!$C$4&gt;20)</f>
        <v>0</v>
      </c>
      <c r="H217" s="28" t="s">
        <v>8</v>
      </c>
      <c r="I217" s="5">
        <v>169</v>
      </c>
      <c r="J217" s="26">
        <v>109</v>
      </c>
      <c r="K217" s="83">
        <f t="shared" si="100"/>
        <v>0</v>
      </c>
      <c r="L217" s="83">
        <f t="shared" si="101"/>
        <v>0</v>
      </c>
    </row>
    <row r="218" spans="5:31" ht="15.75" thickBot="1">
      <c r="G218" s="29" t="b">
        <f>AND($G$1=5,'Simulazione 10.1'!$C$4&gt;200)</f>
        <v>0</v>
      </c>
      <c r="H218" s="30" t="s">
        <v>116</v>
      </c>
      <c r="I218" s="31">
        <v>158</v>
      </c>
      <c r="J218" s="32">
        <v>98</v>
      </c>
      <c r="K218" s="83">
        <f t="shared" si="100"/>
        <v>0</v>
      </c>
      <c r="L218" s="83">
        <f t="shared" si="101"/>
        <v>0</v>
      </c>
    </row>
    <row r="219" spans="5:31" ht="15.75" thickBot="1">
      <c r="I219" s="83"/>
      <c r="J219" s="83"/>
      <c r="K219" s="33">
        <f>IF($K$9=2,K216+K217+K218,0)</f>
        <v>0</v>
      </c>
      <c r="L219" s="33">
        <f>IF($K$9=2,L216+L217+L218,0)</f>
        <v>0</v>
      </c>
    </row>
    <row r="221" spans="5:31">
      <c r="E221" s="6" t="s">
        <v>165</v>
      </c>
    </row>
    <row r="222" spans="5:31">
      <c r="Z222" s="78">
        <v>20</v>
      </c>
      <c r="AA222" s="78">
        <v>21</v>
      </c>
      <c r="AB222" s="78">
        <v>22</v>
      </c>
      <c r="AC222" s="78">
        <v>23</v>
      </c>
      <c r="AD222" s="78">
        <v>24</v>
      </c>
      <c r="AE222" s="78">
        <v>25</v>
      </c>
    </row>
    <row r="223" spans="5:31">
      <c r="E223" s="6" t="s">
        <v>164</v>
      </c>
      <c r="G223" s="124">
        <f>'Simulazione 10.1'!E69</f>
        <v>554389</v>
      </c>
      <c r="H223" s="78">
        <f>'Simulazione 10.1'!F69</f>
        <v>549399.49899999995</v>
      </c>
      <c r="I223" s="78">
        <f>'Simulazione 10.1'!G69</f>
        <v>544454.90350899985</v>
      </c>
      <c r="J223" s="78">
        <f>'Simulazione 10.1'!H69</f>
        <v>539554.80937741883</v>
      </c>
      <c r="K223" s="78">
        <f>'Simulazione 10.1'!I69</f>
        <v>534698.816093022</v>
      </c>
      <c r="L223" s="78">
        <f>'Simulazione 10.1'!J69</f>
        <v>529886.52674818481</v>
      </c>
      <c r="M223" s="78">
        <f>'Simulazione 10.1'!K69</f>
        <v>525117.54800745111</v>
      </c>
      <c r="N223" s="78">
        <f>'Simulazione 10.1'!L69</f>
        <v>520391.49007538403</v>
      </c>
      <c r="O223" s="78">
        <f>'Simulazione 10.1'!M69</f>
        <v>515707.96666470548</v>
      </c>
      <c r="P223" s="78">
        <f>'Simulazione 10.1'!N69</f>
        <v>511066.5949647231</v>
      </c>
      <c r="Q223" s="78">
        <f>'Simulazione 10.1'!O69</f>
        <v>506466.99561004055</v>
      </c>
      <c r="R223" s="78">
        <f>'Simulazione 10.1'!P69</f>
        <v>501908.79264955013</v>
      </c>
      <c r="S223" s="78">
        <f>'Simulazione 10.1'!Q69</f>
        <v>497391.61351570411</v>
      </c>
      <c r="T223" s="78">
        <f>'Simulazione 10.1'!R69</f>
        <v>492915.08899406274</v>
      </c>
      <c r="U223" s="78">
        <f>'Simulazione 10.1'!S69</f>
        <v>488478.85319311614</v>
      </c>
      <c r="V223" s="78">
        <f>'Simulazione 10.1'!T69</f>
        <v>484082.54351437808</v>
      </c>
      <c r="W223" s="78">
        <f>'Simulazione 10.1'!U69</f>
        <v>479725.80062274868</v>
      </c>
      <c r="X223" s="78">
        <f>'Simulazione 10.1'!V69</f>
        <v>475408.2684171439</v>
      </c>
      <c r="Y223" s="78">
        <f>'Simulazione 10.1'!W69</f>
        <v>471129.59400138957</v>
      </c>
      <c r="Z223" s="78">
        <f>'Simulazione 10.1'!X69</f>
        <v>466889.42765537708</v>
      </c>
      <c r="AA223" s="78">
        <f>'Simulazione 10.1'!Y69</f>
        <v>462687.42280647863</v>
      </c>
      <c r="AB223" s="78">
        <f>'Simulazione 10.1'!Z69</f>
        <v>458523.2360012203</v>
      </c>
      <c r="AC223" s="78">
        <f>'Simulazione 10.1'!AA69</f>
        <v>454396.52687720925</v>
      </c>
      <c r="AD223" s="78">
        <f>'Simulazione 10.1'!AB69</f>
        <v>450306.95813531434</v>
      </c>
      <c r="AE223" s="78">
        <f>'Simulazione 10.1'!AC69</f>
        <v>446254.19551209651</v>
      </c>
    </row>
    <row r="224" spans="5:31">
      <c r="E224" s="6" t="s">
        <v>166</v>
      </c>
      <c r="G224" s="116">
        <f>'Simulazione 10.1'!C36</f>
        <v>1000000</v>
      </c>
      <c r="H224" s="78">
        <f>G224+(Calcoli!G224/100*'Simulazione 10.1'!$C$53)</f>
        <v>1025000</v>
      </c>
      <c r="I224" s="78">
        <f>H224+(Calcoli!H224/100*'Simulazione 10.1'!$C$53)</f>
        <v>1050625</v>
      </c>
      <c r="J224" s="78">
        <f>I224+(Calcoli!I224/100*'Simulazione 10.1'!$C$53)</f>
        <v>1076890.625</v>
      </c>
      <c r="K224" s="78">
        <f>J224+(Calcoli!J224/100*'Simulazione 10.1'!$C$53)</f>
        <v>1103812.890625</v>
      </c>
      <c r="L224" s="78">
        <f>K224+(Calcoli!K224/100*'Simulazione 10.1'!$C$53)</f>
        <v>1131408.212890625</v>
      </c>
      <c r="M224" s="78">
        <f>L224+(Calcoli!L224/100*'Simulazione 10.1'!$C$53)</f>
        <v>1159693.4182128906</v>
      </c>
      <c r="N224" s="78">
        <f>M224+(Calcoli!M224/100*'Simulazione 10.1'!$C$53)</f>
        <v>1188685.7536682128</v>
      </c>
      <c r="O224" s="78">
        <f>N224+(Calcoli!N224/100*'Simulazione 10.1'!$C$53)</f>
        <v>1218402.8975099181</v>
      </c>
      <c r="P224" s="78">
        <f>O224+(Calcoli!O224/100*'Simulazione 10.1'!$C$53)</f>
        <v>1248862.9699476659</v>
      </c>
      <c r="Q224" s="78">
        <f>P224+(Calcoli!P224/100*'Simulazione 10.1'!$C$53)</f>
        <v>1280084.5441963575</v>
      </c>
      <c r="R224" s="78">
        <f>Q224+(Calcoli!Q224/100*'Simulazione 10.1'!$C$53)</f>
        <v>1312086.6578012665</v>
      </c>
      <c r="S224" s="78">
        <f>R224+(Calcoli!R224/100*'Simulazione 10.1'!$C$53)</f>
        <v>1344888.8242462983</v>
      </c>
      <c r="T224" s="78">
        <f>S224+(Calcoli!S224/100*'Simulazione 10.1'!$C$53)</f>
        <v>1378511.0448524558</v>
      </c>
      <c r="U224" s="78">
        <f>T224+(Calcoli!T224/100*'Simulazione 10.1'!$C$53)</f>
        <v>1412973.8209737672</v>
      </c>
      <c r="V224" s="78">
        <f>U224+(Calcoli!U224/100*'Simulazione 10.1'!$C$53)</f>
        <v>1448298.1664981113</v>
      </c>
      <c r="W224" s="78">
        <f>V224+(Calcoli!V224/100*'Simulazione 10.1'!$C$53)</f>
        <v>1484505.6206605642</v>
      </c>
      <c r="X224" s="78">
        <f>W224+(Calcoli!W224/100*'Simulazione 10.1'!$C$53)</f>
        <v>1521618.2611770784</v>
      </c>
      <c r="Y224" s="78">
        <f>X224+(Calcoli!X224/100*'Simulazione 10.1'!$C$53)</f>
        <v>1559658.7177065052</v>
      </c>
      <c r="Z224" s="78">
        <f>Y224+(Calcoli!Y224/100*'Simulazione 10.1'!$C$53)</f>
        <v>1598650.1856491677</v>
      </c>
      <c r="AA224" s="78">
        <f>Z224+(Calcoli!Z224/100*'Simulazione 10.1'!$C$53)</f>
        <v>1638616.440290397</v>
      </c>
      <c r="AB224" s="78">
        <f>AA224+(Calcoli!AA224/100*'Simulazione 10.1'!$C$53)</f>
        <v>1679581.851297657</v>
      </c>
      <c r="AC224" s="78">
        <f>AB224+(Calcoli!AB224/100*'Simulazione 10.1'!$C$53)</f>
        <v>1721571.3975800984</v>
      </c>
      <c r="AD224" s="78">
        <f>AC224+(Calcoli!AC224/100*'Simulazione 10.1'!$C$53)</f>
        <v>1764610.6825196007</v>
      </c>
      <c r="AE224" s="78">
        <f>AD224+(Calcoli!AD224/100*'Simulazione 10.1'!$C$53)</f>
        <v>1808725.9495825907</v>
      </c>
    </row>
    <row r="225" spans="5:44">
      <c r="E225" s="6" t="s">
        <v>155</v>
      </c>
      <c r="G225" s="78">
        <f>IF(G224&gt;G223,G223/100*$V$41,G224/100*$V$41)</f>
        <v>277194.5</v>
      </c>
      <c r="H225" s="78">
        <f t="shared" ref="H225:AE225" si="102">IF(H224&gt;H223,H223/100*$V$41,H224/100*$V$41)</f>
        <v>274699.74949999998</v>
      </c>
      <c r="I225" s="78">
        <f t="shared" si="102"/>
        <v>272227.45175449993</v>
      </c>
      <c r="J225" s="78">
        <f t="shared" si="102"/>
        <v>269777.40468870942</v>
      </c>
      <c r="K225" s="78">
        <f t="shared" si="102"/>
        <v>267349.408046511</v>
      </c>
      <c r="L225" s="78">
        <f t="shared" si="102"/>
        <v>264943.26337409241</v>
      </c>
      <c r="M225" s="78">
        <f t="shared" si="102"/>
        <v>262558.77400372556</v>
      </c>
      <c r="N225" s="78">
        <f t="shared" si="102"/>
        <v>260195.74503769199</v>
      </c>
      <c r="O225" s="78">
        <f t="shared" si="102"/>
        <v>257853.98333235274</v>
      </c>
      <c r="P225" s="78">
        <f t="shared" si="102"/>
        <v>255533.29748236155</v>
      </c>
      <c r="Q225" s="78">
        <f t="shared" si="102"/>
        <v>253233.49780502025</v>
      </c>
      <c r="R225" s="78">
        <f t="shared" si="102"/>
        <v>250954.39632477507</v>
      </c>
      <c r="S225" s="78">
        <f t="shared" si="102"/>
        <v>248695.80675785206</v>
      </c>
      <c r="T225" s="78">
        <f t="shared" si="102"/>
        <v>246457.54449703137</v>
      </c>
      <c r="U225" s="78">
        <f t="shared" si="102"/>
        <v>244239.4265965581</v>
      </c>
      <c r="V225" s="78">
        <f t="shared" si="102"/>
        <v>242041.27175718904</v>
      </c>
      <c r="W225" s="78">
        <f t="shared" si="102"/>
        <v>239862.90031137434</v>
      </c>
      <c r="X225" s="78">
        <f t="shared" si="102"/>
        <v>237704.13420857195</v>
      </c>
      <c r="Y225" s="78">
        <f t="shared" si="102"/>
        <v>235564.79700069482</v>
      </c>
      <c r="Z225" s="78">
        <f t="shared" si="102"/>
        <v>233444.71382768851</v>
      </c>
      <c r="AA225" s="78">
        <f t="shared" si="102"/>
        <v>231343.71140323934</v>
      </c>
      <c r="AB225" s="78">
        <f t="shared" si="102"/>
        <v>229261.61800061012</v>
      </c>
      <c r="AC225" s="78">
        <f t="shared" si="102"/>
        <v>227198.26343860463</v>
      </c>
      <c r="AD225" s="78">
        <f t="shared" si="102"/>
        <v>225153.4790676572</v>
      </c>
      <c r="AE225" s="78">
        <f t="shared" si="102"/>
        <v>223127.09775604826</v>
      </c>
    </row>
    <row r="226" spans="5:44">
      <c r="E226" s="6" t="s">
        <v>169</v>
      </c>
      <c r="G226" s="78">
        <f t="shared" ref="G226:AE226" si="103">IF((G224-G225)&lt;=(G223-G225),G224-G225,G223-G225)</f>
        <v>277194.5</v>
      </c>
      <c r="H226" s="78">
        <f t="shared" si="103"/>
        <v>274699.74949999998</v>
      </c>
      <c r="I226" s="78">
        <f t="shared" si="103"/>
        <v>272227.45175449993</v>
      </c>
      <c r="J226" s="78">
        <f t="shared" si="103"/>
        <v>269777.40468870942</v>
      </c>
      <c r="K226" s="78">
        <f t="shared" si="103"/>
        <v>267349.408046511</v>
      </c>
      <c r="L226" s="78">
        <f t="shared" si="103"/>
        <v>264943.26337409241</v>
      </c>
      <c r="M226" s="78">
        <f t="shared" si="103"/>
        <v>262558.77400372556</v>
      </c>
      <c r="N226" s="78">
        <f t="shared" si="103"/>
        <v>260195.74503769205</v>
      </c>
      <c r="O226" s="78">
        <f t="shared" si="103"/>
        <v>257853.98333235274</v>
      </c>
      <c r="P226" s="78">
        <f t="shared" si="103"/>
        <v>255533.29748236155</v>
      </c>
      <c r="Q226" s="78">
        <f t="shared" si="103"/>
        <v>253233.49780502031</v>
      </c>
      <c r="R226" s="78">
        <f t="shared" si="103"/>
        <v>250954.39632477507</v>
      </c>
      <c r="S226" s="78">
        <f t="shared" si="103"/>
        <v>248695.80675785206</v>
      </c>
      <c r="T226" s="78">
        <f t="shared" si="103"/>
        <v>246457.54449703137</v>
      </c>
      <c r="U226" s="78">
        <f t="shared" si="103"/>
        <v>244239.42659655804</v>
      </c>
      <c r="V226" s="78">
        <f t="shared" si="103"/>
        <v>242041.27175718904</v>
      </c>
      <c r="W226" s="78">
        <f t="shared" si="103"/>
        <v>239862.90031137434</v>
      </c>
      <c r="X226" s="78">
        <f t="shared" si="103"/>
        <v>237704.13420857195</v>
      </c>
      <c r="Y226" s="78">
        <f t="shared" si="103"/>
        <v>235564.79700069476</v>
      </c>
      <c r="Z226" s="78">
        <f t="shared" si="103"/>
        <v>233444.71382768857</v>
      </c>
      <c r="AA226" s="78">
        <f t="shared" si="103"/>
        <v>231343.71140323929</v>
      </c>
      <c r="AB226" s="78">
        <f t="shared" si="103"/>
        <v>229261.61800061018</v>
      </c>
      <c r="AC226" s="78">
        <f t="shared" si="103"/>
        <v>227198.26343860463</v>
      </c>
      <c r="AD226" s="78">
        <f t="shared" si="103"/>
        <v>225153.47906765714</v>
      </c>
      <c r="AE226" s="78">
        <f t="shared" si="103"/>
        <v>223127.09775604826</v>
      </c>
    </row>
    <row r="227" spans="5:44">
      <c r="E227" s="6" t="s">
        <v>171</v>
      </c>
      <c r="G227" s="78">
        <f>IF(G226&gt;=0,G226,0)</f>
        <v>277194.5</v>
      </c>
      <c r="H227" s="78">
        <f t="shared" ref="H227:AE227" si="104">IF(H226&gt;=0,H226,0)</f>
        <v>274699.74949999998</v>
      </c>
      <c r="I227" s="78">
        <f t="shared" si="104"/>
        <v>272227.45175449993</v>
      </c>
      <c r="J227" s="78">
        <f t="shared" si="104"/>
        <v>269777.40468870942</v>
      </c>
      <c r="K227" s="78">
        <f t="shared" si="104"/>
        <v>267349.408046511</v>
      </c>
      <c r="L227" s="78">
        <f t="shared" si="104"/>
        <v>264943.26337409241</v>
      </c>
      <c r="M227" s="78">
        <f t="shared" si="104"/>
        <v>262558.77400372556</v>
      </c>
      <c r="N227" s="78">
        <f t="shared" si="104"/>
        <v>260195.74503769205</v>
      </c>
      <c r="O227" s="78">
        <f t="shared" si="104"/>
        <v>257853.98333235274</v>
      </c>
      <c r="P227" s="78">
        <f t="shared" si="104"/>
        <v>255533.29748236155</v>
      </c>
      <c r="Q227" s="78">
        <f t="shared" si="104"/>
        <v>253233.49780502031</v>
      </c>
      <c r="R227" s="78">
        <f t="shared" si="104"/>
        <v>250954.39632477507</v>
      </c>
      <c r="S227" s="78">
        <f t="shared" si="104"/>
        <v>248695.80675785206</v>
      </c>
      <c r="T227" s="78">
        <f t="shared" si="104"/>
        <v>246457.54449703137</v>
      </c>
      <c r="U227" s="78">
        <f t="shared" si="104"/>
        <v>244239.42659655804</v>
      </c>
      <c r="V227" s="78">
        <f t="shared" si="104"/>
        <v>242041.27175718904</v>
      </c>
      <c r="W227" s="78">
        <f t="shared" si="104"/>
        <v>239862.90031137434</v>
      </c>
      <c r="X227" s="78">
        <f t="shared" si="104"/>
        <v>237704.13420857195</v>
      </c>
      <c r="Y227" s="78">
        <f t="shared" si="104"/>
        <v>235564.79700069476</v>
      </c>
      <c r="Z227" s="78">
        <f t="shared" si="104"/>
        <v>233444.71382768857</v>
      </c>
      <c r="AA227" s="78">
        <f t="shared" si="104"/>
        <v>231343.71140323929</v>
      </c>
      <c r="AB227" s="78">
        <f t="shared" si="104"/>
        <v>229261.61800061018</v>
      </c>
      <c r="AC227" s="78">
        <f t="shared" si="104"/>
        <v>227198.26343860463</v>
      </c>
      <c r="AD227" s="78">
        <f t="shared" si="104"/>
        <v>225153.47906765714</v>
      </c>
      <c r="AE227" s="78">
        <f t="shared" si="104"/>
        <v>223127.09775604826</v>
      </c>
    </row>
    <row r="228" spans="5:44">
      <c r="E228" s="6" t="s">
        <v>170</v>
      </c>
      <c r="G228" s="78">
        <f t="shared" ref="G228:AE228" si="105">G223-G225-G226</f>
        <v>0</v>
      </c>
      <c r="H228" s="78">
        <f t="shared" si="105"/>
        <v>0</v>
      </c>
      <c r="I228" s="78">
        <f t="shared" si="105"/>
        <v>0</v>
      </c>
      <c r="J228" s="78">
        <f t="shared" si="105"/>
        <v>0</v>
      </c>
      <c r="K228" s="78">
        <f t="shared" si="105"/>
        <v>0</v>
      </c>
      <c r="L228" s="78">
        <f t="shared" si="105"/>
        <v>0</v>
      </c>
      <c r="M228" s="78">
        <f t="shared" si="105"/>
        <v>0</v>
      </c>
      <c r="N228" s="78">
        <f t="shared" si="105"/>
        <v>0</v>
      </c>
      <c r="O228" s="78">
        <f t="shared" si="105"/>
        <v>0</v>
      </c>
      <c r="P228" s="78">
        <f t="shared" si="105"/>
        <v>0</v>
      </c>
      <c r="Q228" s="78">
        <f t="shared" si="105"/>
        <v>0</v>
      </c>
      <c r="R228" s="78">
        <f t="shared" si="105"/>
        <v>0</v>
      </c>
      <c r="S228" s="78">
        <f t="shared" si="105"/>
        <v>0</v>
      </c>
      <c r="T228" s="78">
        <f t="shared" si="105"/>
        <v>0</v>
      </c>
      <c r="U228" s="78">
        <f t="shared" si="105"/>
        <v>0</v>
      </c>
      <c r="V228" s="78">
        <f t="shared" si="105"/>
        <v>0</v>
      </c>
      <c r="W228" s="78">
        <f t="shared" si="105"/>
        <v>0</v>
      </c>
      <c r="X228" s="78">
        <f t="shared" si="105"/>
        <v>0</v>
      </c>
      <c r="Y228" s="78">
        <f t="shared" si="105"/>
        <v>0</v>
      </c>
      <c r="Z228" s="78">
        <f t="shared" si="105"/>
        <v>0</v>
      </c>
      <c r="AA228" s="78">
        <f t="shared" si="105"/>
        <v>0</v>
      </c>
      <c r="AB228" s="78">
        <f t="shared" si="105"/>
        <v>0</v>
      </c>
      <c r="AC228" s="78">
        <f t="shared" si="105"/>
        <v>0</v>
      </c>
      <c r="AD228" s="78">
        <f t="shared" si="105"/>
        <v>0</v>
      </c>
      <c r="AE228" s="78">
        <f t="shared" si="105"/>
        <v>0</v>
      </c>
    </row>
    <row r="229" spans="5:44">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row>
    <row r="230" spans="5:44">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row>
    <row r="231" spans="5:44">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row>
    <row r="232" spans="5:44">
      <c r="G232" s="6" t="s">
        <v>145</v>
      </c>
    </row>
    <row r="233" spans="5:44">
      <c r="G233" s="6" t="b">
        <f>AND(G1=6,T49=1)</f>
        <v>0</v>
      </c>
    </row>
    <row r="235" spans="5:44">
      <c r="G235" s="6" t="s">
        <v>146</v>
      </c>
    </row>
    <row r="236" spans="5:44">
      <c r="G236" s="6" t="b">
        <f>AND(G1=6,T49=2)</f>
        <v>0</v>
      </c>
    </row>
    <row r="238" spans="5:44">
      <c r="E238" s="6" t="s">
        <v>149</v>
      </c>
      <c r="J238" s="118"/>
      <c r="K238" s="118"/>
      <c r="L238" s="118"/>
      <c r="M238" s="118"/>
      <c r="N238" s="118"/>
      <c r="O238" s="118"/>
      <c r="P238" s="118"/>
      <c r="Q238" s="118"/>
      <c r="R238" s="118"/>
      <c r="S238" s="118"/>
      <c r="T238" s="118"/>
      <c r="U238" s="118"/>
      <c r="V238" s="118"/>
      <c r="W238" s="119"/>
      <c r="X238" s="118"/>
      <c r="Y238" s="118"/>
      <c r="Z238" s="118"/>
      <c r="AA238" s="118"/>
      <c r="AB238" s="118"/>
      <c r="AC238" s="118"/>
      <c r="AD238" s="118"/>
      <c r="AE238" s="118"/>
      <c r="AF238" s="118"/>
      <c r="AG238" s="118"/>
      <c r="AH238" s="118"/>
      <c r="AI238" s="118"/>
      <c r="AJ238" s="118"/>
      <c r="AK238" s="113"/>
      <c r="AL238" s="113"/>
      <c r="AM238" s="113"/>
      <c r="AN238" s="113"/>
      <c r="AO238" s="113"/>
      <c r="AP238" s="113"/>
      <c r="AQ238" s="113"/>
      <c r="AR238" s="113"/>
    </row>
    <row r="239" spans="5:44">
      <c r="G239" s="125">
        <f>'Simulazione 10.1'!$C$61</f>
        <v>0.16</v>
      </c>
      <c r="H239" s="125">
        <f>'Simulazione 10.1'!$C$61</f>
        <v>0.16</v>
      </c>
      <c r="I239" s="125">
        <f>'Simulazione 10.1'!$C$61</f>
        <v>0.16</v>
      </c>
      <c r="J239" s="125">
        <f>'Simulazione 10.1'!$C$61</f>
        <v>0.16</v>
      </c>
      <c r="K239" s="125">
        <f>'Simulazione 10.1'!$C$61</f>
        <v>0.16</v>
      </c>
      <c r="L239" s="125">
        <f>'Simulazione 10.1'!$C$61</f>
        <v>0.16</v>
      </c>
      <c r="M239" s="125">
        <f>'Simulazione 10.1'!$C$61</f>
        <v>0.16</v>
      </c>
      <c r="N239" s="125">
        <f>'Simulazione 10.1'!$C$61</f>
        <v>0.16</v>
      </c>
      <c r="O239" s="125">
        <f>'Simulazione 10.1'!$C$61</f>
        <v>0.16</v>
      </c>
      <c r="P239" s="125">
        <f>'Simulazione 10.1'!$C$61</f>
        <v>0.16</v>
      </c>
      <c r="Q239" s="125">
        <f>'Simulazione 10.1'!$C$61</f>
        <v>0.16</v>
      </c>
      <c r="R239" s="125">
        <f>'Simulazione 10.1'!$C$61</f>
        <v>0.16</v>
      </c>
      <c r="S239" s="125">
        <f>'Simulazione 10.1'!$C$61</f>
        <v>0.16</v>
      </c>
      <c r="T239" s="125">
        <f>'Simulazione 10.1'!$C$61</f>
        <v>0.16</v>
      </c>
      <c r="U239" s="125">
        <f>'Simulazione 10.1'!$C$61</f>
        <v>0.16</v>
      </c>
      <c r="V239" s="125">
        <f>'Simulazione 10.1'!$C$61</f>
        <v>0.16</v>
      </c>
      <c r="W239" s="423">
        <f>'Simulazione 10.1'!$C$61</f>
        <v>0.16</v>
      </c>
      <c r="X239" s="125">
        <f>'Simulazione 10.1'!$C$61</f>
        <v>0.16</v>
      </c>
      <c r="Y239" s="125">
        <f>'Simulazione 10.1'!$C$61</f>
        <v>0.16</v>
      </c>
      <c r="Z239" s="125">
        <f>'Simulazione 10.1'!$C$61</f>
        <v>0.16</v>
      </c>
      <c r="AA239" s="125">
        <f>'Simulazione 10.1'!$C$61</f>
        <v>0.16</v>
      </c>
      <c r="AB239" s="125">
        <f>'Simulazione 10.1'!$C$61</f>
        <v>0.16</v>
      </c>
      <c r="AC239" s="125">
        <f>'Simulazione 10.1'!$C$61</f>
        <v>0.16</v>
      </c>
      <c r="AD239" s="125">
        <f>'Simulazione 10.1'!$C$61</f>
        <v>0.16</v>
      </c>
      <c r="AE239" s="125">
        <f>'Simulazione 10.1'!$C$61</f>
        <v>0.16</v>
      </c>
    </row>
    <row r="240" spans="5:44">
      <c r="G240" s="77">
        <f>IF(('Simulazione 10.1'!E70-'Simulazione 10.1'!E71)&gt;'Simulazione 10.1'!E74,'Simulazione 10.1'!E74*Calcoli!G239,('Simulazione 10.1'!E70-'Simulazione 10.1'!E71)*Calcoli!G239)</f>
        <v>7607.2001220271086</v>
      </c>
      <c r="H240" s="77">
        <f>IF(('Simulazione 10.1'!F70-'Simulazione 10.1'!F71)&gt;'Simulazione 10.1'!F74,'Simulazione 10.1'!F74*Calcoli!H239,('Simulazione 10.1'!F70-'Simulazione 10.1'!F71)*Calcoli!H239)</f>
        <v>7538.7353209288603</v>
      </c>
      <c r="I240" s="77">
        <f>IF(('Simulazione 10.1'!G70-'Simulazione 10.1'!G71)&gt;'Simulazione 10.1'!G74,'Simulazione 10.1'!G74*Calcoli!I239,('Simulazione 10.1'!G70-'Simulazione 10.1'!G71)*Calcoli!I239)</f>
        <v>7470.8867030404972</v>
      </c>
      <c r="J240" s="77">
        <f>IF(('Simulazione 10.1'!H70-'Simulazione 10.1'!H71)&gt;'Simulazione 10.1'!H74,'Simulazione 10.1'!H74*Calcoli!J239,('Simulazione 10.1'!H70-'Simulazione 10.1'!H71)*Calcoli!J239)</f>
        <v>7403.6487227131338</v>
      </c>
      <c r="K240" s="77">
        <f>IF(('Simulazione 10.1'!I70-'Simulazione 10.1'!I71)&gt;'Simulazione 10.1'!I74,'Simulazione 10.1'!I74*Calcoli!K239,('Simulazione 10.1'!I70-'Simulazione 10.1'!I71)*Calcoli!K239)</f>
        <v>7337.0158842087167</v>
      </c>
      <c r="L240" s="77">
        <f>IF(('Simulazione 10.1'!J70-'Simulazione 10.1'!J71)&gt;'Simulazione 10.1'!J74,'Simulazione 10.1'!J74*Calcoli!L239,('Simulazione 10.1'!J70-'Simulazione 10.1'!J71)*Calcoli!L239)</f>
        <v>7270.982741250843</v>
      </c>
      <c r="M240" s="77">
        <f>IF(('Simulazione 10.1'!K70-'Simulazione 10.1'!K71)&gt;'Simulazione 10.1'!K74,'Simulazione 10.1'!K74*Calcoli!M239,('Simulazione 10.1'!K70-'Simulazione 10.1'!K71)*Calcoli!M239)</f>
        <v>7205.5438965795747</v>
      </c>
      <c r="N240" s="77">
        <f>IF(('Simulazione 10.1'!L70-'Simulazione 10.1'!L71)&gt;'Simulazione 10.1'!L74,'Simulazione 10.1'!L74*Calcoli!N239,('Simulazione 10.1'!L70-'Simulazione 10.1'!L71)*Calcoli!N239)</f>
        <v>7140.6940015103573</v>
      </c>
      <c r="O240" s="77">
        <f>IF(('Simulazione 10.1'!M70-'Simulazione 10.1'!M71)&gt;'Simulazione 10.1'!M74,'Simulazione 10.1'!M74*Calcoli!O239,('Simulazione 10.1'!M70-'Simulazione 10.1'!M71)*Calcoli!O239)</f>
        <v>7076.4277554967721</v>
      </c>
      <c r="P240" s="77">
        <f>IF(('Simulazione 10.1'!N70-'Simulazione 10.1'!N71)&gt;'Simulazione 10.1'!N74,'Simulazione 10.1'!N74*Calcoli!P239,('Simulazione 10.1'!N70-'Simulazione 10.1'!N71)*Calcoli!P239)</f>
        <v>7012.7399056972936</v>
      </c>
      <c r="Q240" s="77">
        <f>IF(('Simulazione 10.1'!O70-'Simulazione 10.1'!O71)&gt;'Simulazione 10.1'!O74,'Simulazione 10.1'!O74*Calcoli!Q239,('Simulazione 10.1'!O70-'Simulazione 10.1'!O71)*Calcoli!Q239)</f>
        <v>6949.6252465460175</v>
      </c>
      <c r="R240" s="77">
        <f>IF(('Simulazione 10.1'!P70-'Simulazione 10.1'!P71)&gt;'Simulazione 10.1'!P74,'Simulazione 10.1'!P74*Calcoli!R239,('Simulazione 10.1'!P70-'Simulazione 10.1'!P71)*Calcoli!R239)</f>
        <v>6887.0786193270978</v>
      </c>
      <c r="S240" s="77">
        <f>IF(('Simulazione 10.1'!Q70-'Simulazione 10.1'!Q71)&gt;'Simulazione 10.1'!Q74,'Simulazione 10.1'!Q74*Calcoli!S239,('Simulazione 10.1'!Q70-'Simulazione 10.1'!Q71)*Calcoli!S239)</f>
        <v>6825.0949117531536</v>
      </c>
      <c r="T240" s="77">
        <f>IF(('Simulazione 10.1'!R70-'Simulazione 10.1'!R71)&gt;'Simulazione 10.1'!R74,'Simulazione 10.1'!R74*Calcoli!T239,('Simulazione 10.1'!R70-'Simulazione 10.1'!R71)*Calcoli!T239)</f>
        <v>6763.6690575473849</v>
      </c>
      <c r="U240" s="77">
        <f>IF(('Simulazione 10.1'!S70-'Simulazione 10.1'!S71)&gt;'Simulazione 10.1'!S74,'Simulazione 10.1'!S74*Calcoli!U239,('Simulazione 10.1'!S70-'Simulazione 10.1'!S71)*Calcoli!U239)</f>
        <v>6702.7960360294583</v>
      </c>
      <c r="V240" s="77">
        <f>IF(('Simulazione 10.1'!T70-'Simulazione 10.1'!T71)&gt;'Simulazione 10.1'!T74,'Simulazione 10.1'!T74*Calcoli!V239,('Simulazione 10.1'!T70-'Simulazione 10.1'!T71)*Calcoli!V239)</f>
        <v>6642.4708717051899</v>
      </c>
      <c r="W240" s="78">
        <f>IF(('Simulazione 10.1'!U70-'Simulazione 10.1'!U71)&gt;'Simulazione 10.1'!U74,'Simulazione 10.1'!U74*Calcoli!W239,('Simulazione 10.1'!U70-'Simulazione 10.1'!U71)*Calcoli!W239)</f>
        <v>6582.688633859847</v>
      </c>
      <c r="X240" s="77">
        <f>IF(('Simulazione 10.1'!V70-'Simulazione 10.1'!V71)&gt;'Simulazione 10.1'!V74,'Simulazione 10.1'!V74*Calcoli!X239,('Simulazione 10.1'!V70-'Simulazione 10.1'!V71)*Calcoli!X239)</f>
        <v>6523.4444361551014</v>
      </c>
      <c r="Y240" s="77">
        <f>IF(('Simulazione 10.1'!W70-'Simulazione 10.1'!W71)&gt;'Simulazione 10.1'!W74,'Simulazione 10.1'!W74*Calcoli!Y239,('Simulazione 10.1'!W70-'Simulazione 10.1'!W71)*Calcoli!Y239)</f>
        <v>6464.7334362297133</v>
      </c>
      <c r="Z240" s="77">
        <f>IF(('Simulazione 10.1'!X70-'Simulazione 10.1'!X71)&gt;'Simulazione 10.1'!X74,'Simulazione 10.1'!X74*Calcoli!Z239,('Simulazione 10.1'!X70-'Simulazione 10.1'!X71)*Calcoli!Z239)</f>
        <v>6406.5508353036366</v>
      </c>
      <c r="AA240" s="77">
        <f>IF(('Simulazione 10.1'!Y70-'Simulazione 10.1'!Y71)&gt;'Simulazione 10.1'!Y74,'Simulazione 10.1'!Y74*Calcoli!AA239,('Simulazione 10.1'!Y70-'Simulazione 10.1'!Y71)*Calcoli!AA239)</f>
        <v>6348.8918777859026</v>
      </c>
      <c r="AB240" s="77">
        <f>IF(('Simulazione 10.1'!Z70-'Simulazione 10.1'!Z71)&gt;'Simulazione 10.1'!Z74,'Simulazione 10.1'!Z74*Calcoli!AB239,('Simulazione 10.1'!Z70-'Simulazione 10.1'!Z71)*Calcoli!AB239)</f>
        <v>6291.7518508858238</v>
      </c>
      <c r="AC240" s="77">
        <f>IF(('Simulazione 10.1'!AA70-'Simulazione 10.1'!AA71)&gt;'Simulazione 10.1'!AA74,'Simulazione 10.1'!AA74*Calcoli!AC239,('Simulazione 10.1'!AA70-'Simulazione 10.1'!AA71)*Calcoli!AC239)</f>
        <v>6235.1260842278698</v>
      </c>
      <c r="AD240" s="77">
        <f>IF(('Simulazione 10.1'!AB70-'Simulazione 10.1'!AB71)&gt;'Simulazione 10.1'!AB74,'Simulazione 10.1'!AB74*Calcoli!AD239,('Simulazione 10.1'!AB70-'Simulazione 10.1'!AB71)*Calcoli!AD239)</f>
        <v>6179.0099494698088</v>
      </c>
      <c r="AE240" s="77">
        <f>IF(('Simulazione 10.1'!AC70-'Simulazione 10.1'!AC71)&gt;'Simulazione 10.1'!AC74,'Simulazione 10.1'!AC74*Calcoli!AE239,('Simulazione 10.1'!AC70-'Simulazione 10.1'!AC71)*Calcoli!AE239)</f>
        <v>6123.3988599245813</v>
      </c>
    </row>
    <row r="241" spans="7:34">
      <c r="G241" s="77"/>
      <c r="H241" s="77"/>
      <c r="I241" s="77"/>
      <c r="J241" s="77"/>
      <c r="K241" s="77"/>
      <c r="L241" s="77"/>
      <c r="M241" s="77"/>
      <c r="N241" s="77"/>
      <c r="O241" s="77"/>
      <c r="P241" s="77"/>
      <c r="Q241" s="77"/>
      <c r="R241" s="77"/>
      <c r="S241" s="77"/>
      <c r="T241" s="77"/>
      <c r="U241" s="77"/>
      <c r="V241" s="77"/>
      <c r="W241" s="78"/>
      <c r="X241" s="77"/>
      <c r="Y241" s="77"/>
      <c r="Z241" s="77"/>
      <c r="AA241" s="77"/>
      <c r="AB241" s="77"/>
      <c r="AC241" s="77"/>
      <c r="AD241" s="77"/>
      <c r="AE241" s="77"/>
    </row>
    <row r="242" spans="7:34">
      <c r="T242" s="124"/>
    </row>
    <row r="246" spans="7:34">
      <c r="G246" s="114">
        <v>1</v>
      </c>
      <c r="H246" s="114">
        <v>2</v>
      </c>
      <c r="I246" s="114">
        <v>3</v>
      </c>
      <c r="J246" s="114">
        <v>4</v>
      </c>
      <c r="K246" s="114">
        <v>5</v>
      </c>
      <c r="L246" s="114">
        <v>6</v>
      </c>
      <c r="M246" s="114">
        <v>7</v>
      </c>
      <c r="N246" s="114">
        <v>8</v>
      </c>
      <c r="O246" s="114">
        <v>9</v>
      </c>
      <c r="P246" s="114">
        <v>10</v>
      </c>
      <c r="Q246" s="114">
        <v>11</v>
      </c>
      <c r="R246" s="114">
        <v>12</v>
      </c>
      <c r="S246" s="114">
        <v>13</v>
      </c>
      <c r="T246" s="114">
        <v>14</v>
      </c>
      <c r="U246" s="114">
        <v>15</v>
      </c>
      <c r="V246" s="114">
        <v>16</v>
      </c>
      <c r="W246" s="417">
        <v>17</v>
      </c>
      <c r="X246" s="114">
        <v>18</v>
      </c>
      <c r="Y246" s="114">
        <v>19</v>
      </c>
      <c r="Z246" s="114">
        <v>20</v>
      </c>
      <c r="AA246" s="114">
        <v>21</v>
      </c>
      <c r="AB246" s="114">
        <v>22</v>
      </c>
      <c r="AC246" s="114">
        <v>23</v>
      </c>
      <c r="AD246" s="114">
        <v>24</v>
      </c>
      <c r="AE246" s="114">
        <v>25</v>
      </c>
    </row>
    <row r="247" spans="7:34">
      <c r="G247" s="114">
        <f>'Simulazione 10.1'!C60</f>
        <v>0.16500000000000001</v>
      </c>
      <c r="H247" s="114">
        <f>G247+(G247/100*'Simulazione 10.1'!$C$64)</f>
        <v>0.1716</v>
      </c>
      <c r="I247" s="114">
        <f>H247+(H247/100*'Simulazione 10.1'!$C$64)</f>
        <v>0.17846400000000001</v>
      </c>
      <c r="J247" s="114">
        <f>I247+(I247/100*'Simulazione 10.1'!$C$64)</f>
        <v>0.18560256</v>
      </c>
      <c r="K247" s="114">
        <f>J247+(J247/100*'Simulazione 10.1'!$C$64)</f>
        <v>0.19302666239999999</v>
      </c>
      <c r="L247" s="114">
        <f>K247+(K247/100*'Simulazione 10.1'!$C$64)</f>
        <v>0.20074772889599998</v>
      </c>
      <c r="M247" s="114">
        <f>L247+(L247/100*'Simulazione 10.1'!$C$64)</f>
        <v>0.20877763805183999</v>
      </c>
      <c r="N247" s="114">
        <f>M247+(M247/100*'Simulazione 10.1'!$C$64)</f>
        <v>0.2171287435739136</v>
      </c>
      <c r="O247" s="114">
        <f>N247+(N247/100*'Simulazione 10.1'!$C$64)</f>
        <v>0.22581389331687013</v>
      </c>
      <c r="P247" s="114">
        <f>O247+(O247/100*'Simulazione 10.1'!$C$64)</f>
        <v>0.23484644904954494</v>
      </c>
      <c r="Q247" s="114">
        <f>P247+(P247/100*'Simulazione 10.1'!$C$64)</f>
        <v>0.24424030701152674</v>
      </c>
      <c r="R247" s="114">
        <f>Q247+(Q247/100*'Simulazione 10.1'!$C$64)</f>
        <v>0.2540099192919878</v>
      </c>
      <c r="S247" s="114">
        <f>R247+(R247/100*'Simulazione 10.1'!$C$64)</f>
        <v>0.26417031606366731</v>
      </c>
      <c r="T247" s="114">
        <f>S247+(S247/100*'Simulazione 10.1'!$C$64)</f>
        <v>0.27473712870621403</v>
      </c>
      <c r="U247" s="114">
        <f>T247+(T247/100*'Simulazione 10.1'!$C$64)</f>
        <v>0.28572661385446257</v>
      </c>
      <c r="V247" s="114">
        <f>U247+(U247/100*'Simulazione 10.1'!$C$64)</f>
        <v>0.2971556784086411</v>
      </c>
      <c r="W247" s="417">
        <f>V247+(V247/100*'Simulazione 10.1'!$C$64)</f>
        <v>0.30904190554498673</v>
      </c>
      <c r="X247" s="114">
        <f>W247+(W247/100*'Simulazione 10.1'!$C$64)</f>
        <v>0.32140358176678618</v>
      </c>
      <c r="Y247" s="114">
        <f>X247+(X247/100*'Simulazione 10.1'!$C$64)</f>
        <v>0.33425972503745766</v>
      </c>
      <c r="Z247" s="114">
        <f>Y247+(Y247/100*'Simulazione 10.1'!$C$64)</f>
        <v>0.34763011403895594</v>
      </c>
      <c r="AA247" s="114">
        <f>Z247+(Z247/100*'Simulazione 10.1'!$C$64)</f>
        <v>0.36153531860051419</v>
      </c>
      <c r="AB247" s="114">
        <f>AA247+(AA247/100*'Simulazione 10.1'!$C$64)</f>
        <v>0.37599673134453476</v>
      </c>
      <c r="AC247" s="114">
        <f>AB247+(AB247/100*'Simulazione 10.1'!$C$64)</f>
        <v>0.39103660059831613</v>
      </c>
      <c r="AD247" s="114">
        <f>AC247+(AC247/100*'Simulazione 10.1'!$C$64)</f>
        <v>0.40667806462224876</v>
      </c>
      <c r="AE247" s="114">
        <f>AD247+(AD247/100*'Simulazione 10.1'!$C$64)</f>
        <v>0.4229451872071387</v>
      </c>
    </row>
    <row r="251" spans="7:34">
      <c r="G251" s="119">
        <f>'Simulazione 10.1'!C62</f>
        <v>0.08</v>
      </c>
      <c r="H251" s="119">
        <f>G251+(G251/100*'Simulazione 10.1'!$C$64)</f>
        <v>8.3199999999999996E-2</v>
      </c>
      <c r="I251" s="119">
        <f>H251+(H251/100*'Simulazione 10.1'!$C$64)</f>
        <v>8.6527999999999994E-2</v>
      </c>
      <c r="J251" s="119">
        <f>I251+(I251/100*'Simulazione 10.1'!$C$64)</f>
        <v>8.9989119999999992E-2</v>
      </c>
      <c r="K251" s="119">
        <f>J251+(J251/100*'Simulazione 10.1'!$C$64)</f>
        <v>9.3588684799999988E-2</v>
      </c>
      <c r="L251" s="119">
        <f>K251+(K251/100*'Simulazione 10.1'!$C$64)</f>
        <v>9.733223219199999E-2</v>
      </c>
      <c r="M251" s="119">
        <f>L251+(L251/100*'Simulazione 10.1'!$C$64)</f>
        <v>0.10122552147967999</v>
      </c>
      <c r="N251" s="119">
        <f>M251+(M251/100*'Simulazione 10.1'!$C$64)</f>
        <v>0.10527454233886718</v>
      </c>
      <c r="O251" s="119">
        <f>N251+(N251/100*'Simulazione 10.1'!$C$64)</f>
        <v>0.10948552403242187</v>
      </c>
      <c r="P251" s="119">
        <f>O251+(O251/100*'Simulazione 10.1'!$C$64)</f>
        <v>0.11386494499371874</v>
      </c>
      <c r="Q251" s="119">
        <f>P251+(P251/100*'Simulazione 10.1'!$C$64)</f>
        <v>0.11841954279346749</v>
      </c>
      <c r="R251" s="119">
        <f>Q251+(Q251/100*'Simulazione 10.1'!$C$64)</f>
        <v>0.12315632450520619</v>
      </c>
      <c r="S251" s="119">
        <f>R251+(R251/100*'Simulazione 10.1'!$C$64)</f>
        <v>0.12808257748541443</v>
      </c>
      <c r="T251" s="119">
        <f>S251+(S251/100*'Simulazione 10.1'!$C$64)</f>
        <v>0.13320588058483102</v>
      </c>
      <c r="U251" s="119">
        <f>T251+(T251/100*'Simulazione 10.1'!$C$64)</f>
        <v>0.13853411580822425</v>
      </c>
      <c r="V251" s="119">
        <f>U251+(U251/100*'Simulazione 10.1'!$C$64)</f>
        <v>0.14407548044055321</v>
      </c>
      <c r="W251" s="119">
        <f>V251+(V251/100*'Simulazione 10.1'!$C$64)</f>
        <v>0.14983849965817533</v>
      </c>
      <c r="X251" s="119">
        <f>W251+(W251/100*'Simulazione 10.1'!$C$64)</f>
        <v>0.15583203964450235</v>
      </c>
      <c r="Y251" s="119">
        <f>X251+(X251/100*'Simulazione 10.1'!$C$64)</f>
        <v>0.16206532123028244</v>
      </c>
      <c r="Z251" s="119">
        <f>Y251+(Y251/100*'Simulazione 10.1'!$C$64)</f>
        <v>0.16854793407949376</v>
      </c>
      <c r="AA251" s="119">
        <f>Z251+(Z251/100*'Simulazione 10.1'!$C$64)</f>
        <v>0.17528985144267351</v>
      </c>
      <c r="AB251" s="119">
        <f>AA251+(AA251/100*'Simulazione 10.1'!$C$64)</f>
        <v>0.18230144550038044</v>
      </c>
      <c r="AC251" s="119">
        <f>AB251+(AB251/100*'Simulazione 10.1'!$C$64)</f>
        <v>0.18959350332039565</v>
      </c>
      <c r="AD251" s="119">
        <f>AC251+(AC251/100*'Simulazione 10.1'!$C$64)</f>
        <v>0.19717724345321147</v>
      </c>
      <c r="AE251" s="119">
        <f>AD251+(AD251/100*'Simulazione 10.1'!$C$64)</f>
        <v>0.20506433319133993</v>
      </c>
      <c r="AF251" s="118"/>
      <c r="AG251" s="118"/>
      <c r="AH251" s="118"/>
    </row>
    <row r="255" spans="7:34">
      <c r="G255" s="117"/>
    </row>
    <row r="256" spans="7:34">
      <c r="G256" s="6" t="b">
        <f>AND($G$1=6,$T$49=1,'Simulazione 10.1'!$C$4&lt;=200)</f>
        <v>0</v>
      </c>
      <c r="H256" s="6" t="b">
        <f>AND($G$1=6,$T$49=1,'Simulazione 10.1'!$C$4&lt;=200)</f>
        <v>0</v>
      </c>
      <c r="I256" s="6" t="b">
        <f>AND($G$1=6,$T$49=1,'Simulazione 10.1'!$C$4&lt;=200)</f>
        <v>0</v>
      </c>
      <c r="J256" s="6" t="b">
        <f>AND($G$1=6,$T$49=1,'Simulazione 10.1'!$C$4&lt;=200)</f>
        <v>0</v>
      </c>
      <c r="K256" s="6" t="b">
        <f>AND($G$1=6,$T$49=1,'Simulazione 10.1'!$C$4&lt;=200)</f>
        <v>0</v>
      </c>
      <c r="L256" s="6" t="b">
        <f>AND($G$1=6,$T$49=1,'Simulazione 10.1'!$C$4&lt;=200)</f>
        <v>0</v>
      </c>
      <c r="M256" s="6" t="b">
        <f>AND($G$1=6,$T$49=1,'Simulazione 10.1'!$C$4&lt;=200)</f>
        <v>0</v>
      </c>
      <c r="N256" s="6" t="b">
        <f>AND($G$1=6,$T$49=1,'Simulazione 10.1'!$C$4&lt;=200)</f>
        <v>0</v>
      </c>
      <c r="O256" s="6" t="b">
        <f>AND($G$1=6,$T$49=1,'Simulazione 10.1'!$C$4&lt;=200)</f>
        <v>0</v>
      </c>
      <c r="P256" s="6" t="b">
        <f>AND($G$1=6,$T$49=1,'Simulazione 10.1'!$C$4&lt;=200)</f>
        <v>0</v>
      </c>
      <c r="Q256" s="6" t="b">
        <f>AND($G$1=6,$T$49=1,'Simulazione 10.1'!$C$4&lt;=200)</f>
        <v>0</v>
      </c>
      <c r="R256" s="6" t="b">
        <f>AND($G$1=6,$T$49=1,'Simulazione 10.1'!$C$4&lt;=200)</f>
        <v>0</v>
      </c>
      <c r="S256" s="6" t="b">
        <f>AND($G$1=6,$T$49=1,'Simulazione 10.1'!$C$4&lt;=200)</f>
        <v>0</v>
      </c>
      <c r="T256" s="6" t="b">
        <f>AND($G$1=6,$T$49=1,'Simulazione 10.1'!$C$4&lt;=200)</f>
        <v>0</v>
      </c>
      <c r="U256" s="6" t="b">
        <f>AND($G$1=6,$T$49=1,'Simulazione 10.1'!$C$4&lt;=200)</f>
        <v>0</v>
      </c>
      <c r="V256" s="6" t="b">
        <f>AND($G$1=6,$T$49=1,'Simulazione 10.1'!$C$4&lt;=200)</f>
        <v>0</v>
      </c>
      <c r="W256" s="6" t="b">
        <f>AND($G$1=6,$T$49=1,'Simulazione 10.1'!$C$4&lt;=200)</f>
        <v>0</v>
      </c>
      <c r="X256" s="6" t="b">
        <f>AND($G$1=6,$T$49=1,'Simulazione 10.1'!$C$4&lt;=200)</f>
        <v>0</v>
      </c>
      <c r="Y256" s="6" t="b">
        <f>AND($G$1=6,$T$49=1,'Simulazione 10.1'!$C$4&lt;=200)</f>
        <v>0</v>
      </c>
      <c r="Z256" s="6" t="b">
        <f>AND($G$1=6,$T$49=1,'Simulazione 10.1'!$C$4&lt;=200)</f>
        <v>0</v>
      </c>
      <c r="AA256" s="6" t="b">
        <f>AND($G$1=6,$T$49=1,'Simulazione 10.1'!$C$4&lt;=200)</f>
        <v>0</v>
      </c>
      <c r="AB256" s="6" t="b">
        <f>AND($G$1=6,$T$49=1,'Simulazione 10.1'!$C$4&lt;=200)</f>
        <v>0</v>
      </c>
      <c r="AC256" s="6" t="b">
        <f>AND($G$1=6,$T$49=1,'Simulazione 10.1'!$C$4&lt;=200)</f>
        <v>0</v>
      </c>
      <c r="AD256" s="6" t="b">
        <f>AND($G$1=6,$T$49=1,'Simulazione 10.1'!$C$4&lt;=200)</f>
        <v>0</v>
      </c>
      <c r="AE256" s="6" t="b">
        <f>AND($G$1=6,$T$49=1,'Simulazione 10.1'!$C$4&lt;=200)</f>
        <v>0</v>
      </c>
    </row>
    <row r="260" spans="7:31">
      <c r="G260" s="117">
        <f>IF(Calcoli!$T$49=1,'Simulazione 10.1'!C36,0)</f>
        <v>1000000</v>
      </c>
      <c r="H260" s="78">
        <f>G260+G260/100*'Simulazione 10.1'!$C$53</f>
        <v>1025000</v>
      </c>
      <c r="I260" s="78">
        <f>H260+H260/100*'Simulazione 10.1'!$C$53</f>
        <v>1050625</v>
      </c>
      <c r="J260" s="78">
        <f>I260+I260/100*'Simulazione 10.1'!$C$53</f>
        <v>1076890.625</v>
      </c>
      <c r="K260" s="78">
        <f>J260+J260/100*'Simulazione 10.1'!$C$53</f>
        <v>1103812.890625</v>
      </c>
      <c r="L260" s="78">
        <f>K260+K260/100*'Simulazione 10.1'!$C$53</f>
        <v>1131408.212890625</v>
      </c>
      <c r="M260" s="78">
        <f>L260+L260/100*'Simulazione 10.1'!$C$53</f>
        <v>1159693.4182128906</v>
      </c>
      <c r="N260" s="78">
        <f>M260+M260/100*'Simulazione 10.1'!$C$53</f>
        <v>1188685.7536682128</v>
      </c>
      <c r="O260" s="78">
        <f>N260+N260/100*'Simulazione 10.1'!$C$53</f>
        <v>1218402.8975099181</v>
      </c>
      <c r="P260" s="78">
        <f>O260+O260/100*'Simulazione 10.1'!$C$53</f>
        <v>1248862.9699476659</v>
      </c>
      <c r="Q260" s="78">
        <f>P260+P260/100*'Simulazione 10.1'!$C$53</f>
        <v>1280084.5441963575</v>
      </c>
      <c r="R260" s="78">
        <f>Q260+Q260/100*'Simulazione 10.1'!$C$53</f>
        <v>1312086.6578012665</v>
      </c>
      <c r="S260" s="78">
        <f>R260+R260/100*'Simulazione 10.1'!$C$53</f>
        <v>1344888.8242462983</v>
      </c>
      <c r="T260" s="78">
        <f>S260+S260/100*'Simulazione 10.1'!$C$53</f>
        <v>1378511.0448524558</v>
      </c>
      <c r="U260" s="78">
        <f>T260+T260/100*'Simulazione 10.1'!$C$53</f>
        <v>1412973.8209737672</v>
      </c>
      <c r="V260" s="78">
        <f>U260+U260/100*'Simulazione 10.1'!$C$53</f>
        <v>1448298.1664981113</v>
      </c>
      <c r="W260" s="78">
        <f>V260+V260/100*'Simulazione 10.1'!$C$53</f>
        <v>1484505.6206605642</v>
      </c>
      <c r="X260" s="78">
        <f>W260+W260/100*'Simulazione 10.1'!$C$53</f>
        <v>1521618.2611770784</v>
      </c>
      <c r="Y260" s="78">
        <f>X260+X260/100*'Simulazione 10.1'!$C$53</f>
        <v>1559658.7177065052</v>
      </c>
      <c r="Z260" s="78">
        <f>Y260+Y260/100*'Simulazione 10.1'!$C$53</f>
        <v>1598650.1856491677</v>
      </c>
      <c r="AA260" s="78">
        <f>Z260+Z260/100*'Simulazione 10.1'!$C$53</f>
        <v>1638616.440290397</v>
      </c>
      <c r="AB260" s="78">
        <f>AA260+AA260/100*'Simulazione 10.1'!$C$53</f>
        <v>1679581.851297657</v>
      </c>
      <c r="AC260" s="78">
        <f>AB260+AB260/100*'Simulazione 10.1'!$C$53</f>
        <v>1721571.3975800984</v>
      </c>
      <c r="AD260" s="78">
        <f>AC260+AC260/100*'Simulazione 10.1'!$C$53</f>
        <v>1764610.6825196007</v>
      </c>
      <c r="AE260" s="78">
        <f>AD260+AD260/100*'Simulazione 10.1'!$C$53</f>
        <v>1808725.9495825907</v>
      </c>
    </row>
    <row r="265" spans="7:31">
      <c r="G265" s="6" t="b">
        <f>AND($G$1=6,$G$76&lt;3,$T$49=1)</f>
        <v>0</v>
      </c>
      <c r="H265" s="6" t="b">
        <f t="shared" ref="H265:AE265" si="106">AND($G$1=6,$G$76&lt;3,$T$49=1)</f>
        <v>0</v>
      </c>
      <c r="I265" s="6" t="b">
        <f t="shared" si="106"/>
        <v>0</v>
      </c>
      <c r="J265" s="6" t="b">
        <f t="shared" si="106"/>
        <v>0</v>
      </c>
      <c r="K265" s="6" t="b">
        <f t="shared" si="106"/>
        <v>0</v>
      </c>
      <c r="L265" s="6" t="b">
        <f t="shared" si="106"/>
        <v>0</v>
      </c>
      <c r="M265" s="6" t="b">
        <f t="shared" si="106"/>
        <v>0</v>
      </c>
      <c r="N265" s="6" t="b">
        <f t="shared" si="106"/>
        <v>0</v>
      </c>
      <c r="O265" s="6" t="b">
        <f t="shared" si="106"/>
        <v>0</v>
      </c>
      <c r="P265" s="6" t="b">
        <f t="shared" si="106"/>
        <v>0</v>
      </c>
      <c r="Q265" s="6" t="b">
        <f t="shared" si="106"/>
        <v>0</v>
      </c>
      <c r="R265" s="6" t="b">
        <f t="shared" si="106"/>
        <v>0</v>
      </c>
      <c r="S265" s="6" t="b">
        <f t="shared" si="106"/>
        <v>0</v>
      </c>
      <c r="T265" s="6" t="b">
        <f t="shared" si="106"/>
        <v>0</v>
      </c>
      <c r="U265" s="6" t="b">
        <f t="shared" si="106"/>
        <v>0</v>
      </c>
      <c r="V265" s="6" t="b">
        <f t="shared" si="106"/>
        <v>0</v>
      </c>
      <c r="W265" s="6" t="b">
        <f t="shared" si="106"/>
        <v>0</v>
      </c>
      <c r="X265" s="6" t="b">
        <f t="shared" si="106"/>
        <v>0</v>
      </c>
      <c r="Y265" s="6" t="b">
        <f t="shared" si="106"/>
        <v>0</v>
      </c>
      <c r="Z265" s="6" t="b">
        <f t="shared" si="106"/>
        <v>0</v>
      </c>
      <c r="AA265" s="6" t="b">
        <f t="shared" si="106"/>
        <v>0</v>
      </c>
      <c r="AB265" s="6" t="b">
        <f t="shared" si="106"/>
        <v>0</v>
      </c>
      <c r="AC265" s="6" t="b">
        <f t="shared" si="106"/>
        <v>0</v>
      </c>
      <c r="AD265" s="6" t="b">
        <f t="shared" si="106"/>
        <v>0</v>
      </c>
      <c r="AE265" s="6" t="b">
        <f t="shared" si="106"/>
        <v>0</v>
      </c>
    </row>
    <row r="270" spans="7:31">
      <c r="G270" s="451">
        <f>'Simulazione 10.1'!F102</f>
        <v>-363592.51686062175</v>
      </c>
      <c r="H270" s="451">
        <f>'Simulazione 10.1'!G102</f>
        <v>-254911.1889926407</v>
      </c>
      <c r="I270" s="451">
        <f>'Simulazione 10.1'!H102</f>
        <v>-143767.8948868548</v>
      </c>
      <c r="J270" s="451">
        <f>'Simulazione 10.1'!I102</f>
        <v>-30076.898896905099</v>
      </c>
      <c r="K270" s="451">
        <f>'Simulazione 10.1'!J102</f>
        <v>86250.068854764351</v>
      </c>
      <c r="L270" s="451">
        <f>'Simulazione 10.1'!K102</f>
        <v>205303.89096013136</v>
      </c>
      <c r="M270" s="451">
        <f>'Simulazione 10.1'!L102</f>
        <v>327178.14360603713</v>
      </c>
      <c r="N270" s="451">
        <f>'Simulazione 10.1'!M102</f>
        <v>451969.1799253627</v>
      </c>
      <c r="O270" s="451">
        <f>'Simulazione 10.1'!N102</f>
        <v>570776.21589471051</v>
      </c>
      <c r="P270" s="451">
        <f>'Simulazione 10.1'!O102</f>
        <v>701701.41885668249</v>
      </c>
      <c r="Q270" s="451">
        <f>'Simulazione 10.1'!P102</f>
        <v>835849.99874723796</v>
      </c>
      <c r="R270" s="451">
        <f>'Simulazione 10.1'!Q102</f>
        <v>967873.64924678544</v>
      </c>
      <c r="S270" s="451">
        <f>'Simulazione 10.1'!R102</f>
        <v>1103415.1471377509</v>
      </c>
      <c r="T270" s="451">
        <f>'Simulazione 10.1'!S102</f>
        <v>1242588.7349157862</v>
      </c>
      <c r="U270" s="451">
        <f>'Simulazione 10.1'!T102</f>
        <v>1385512.0973657463</v>
      </c>
      <c r="V270" s="451">
        <f>'Simulazione 10.1'!U102</f>
        <v>1532306.4675563371</v>
      </c>
      <c r="W270" s="451">
        <f>'Simulazione 10.1'!V102</f>
        <v>1683096.736077735</v>
      </c>
      <c r="X270" s="451">
        <f>'Simulazione 10.1'!W102</f>
        <v>1838011.5636215825</v>
      </c>
      <c r="Y270" s="451">
        <f>'Simulazione 10.1'!X102</f>
        <v>1988183.4970058131</v>
      </c>
    </row>
  </sheetData>
  <sheetProtection formatCells="0" formatColumns="0" formatRows="0" insertColumns="0" insertRows="0" insertHyperlinks="0" deleteColumns="0" deleteRows="0" sort="0" autoFilter="0" pivotTables="0"/>
  <mergeCells count="33">
    <mergeCell ref="Z41:AA41"/>
    <mergeCell ref="G119:I119"/>
    <mergeCell ref="I190:J190"/>
    <mergeCell ref="I198:J198"/>
    <mergeCell ref="I206:J206"/>
    <mergeCell ref="I214:J214"/>
    <mergeCell ref="I122:J122"/>
    <mergeCell ref="O122:P122"/>
    <mergeCell ref="I132:J132"/>
    <mergeCell ref="O132:P132"/>
    <mergeCell ref="I183:J183"/>
    <mergeCell ref="O183:P183"/>
    <mergeCell ref="G180:I180"/>
    <mergeCell ref="I11:J11"/>
    <mergeCell ref="O11:P11"/>
    <mergeCell ref="I21:J21"/>
    <mergeCell ref="O21:P21"/>
    <mergeCell ref="G1:G5"/>
    <mergeCell ref="G7:G8"/>
    <mergeCell ref="X2:AD2"/>
    <mergeCell ref="X3:AD3"/>
    <mergeCell ref="X4:AD4"/>
    <mergeCell ref="X5:AD5"/>
    <mergeCell ref="X6:AD6"/>
    <mergeCell ref="X12:AD12"/>
    <mergeCell ref="X13:AD13"/>
    <mergeCell ref="X14:AD14"/>
    <mergeCell ref="X15:AD15"/>
    <mergeCell ref="X7:AD7"/>
    <mergeCell ref="X8:AD8"/>
    <mergeCell ref="X9:AD9"/>
    <mergeCell ref="X10:AD10"/>
    <mergeCell ref="X11:AD11"/>
  </mergeCells>
  <pageMargins left="0.70866141732283472" right="0.70866141732283472" top="0.74803149606299213" bottom="0.74803149606299213"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dimension ref="A1:AO195"/>
  <sheetViews>
    <sheetView topLeftCell="A7" zoomScale="90" zoomScaleNormal="90" workbookViewId="0">
      <selection activeCell="X95" sqref="X95"/>
    </sheetView>
  </sheetViews>
  <sheetFormatPr defaultRowHeight="12.75"/>
  <cols>
    <col min="1" max="1" width="9.5703125" style="200" bestFit="1" customWidth="1"/>
    <col min="2" max="2" width="13.5703125" style="200" bestFit="1" customWidth="1"/>
    <col min="3" max="3" width="13.5703125" style="200" customWidth="1"/>
    <col min="4" max="4" width="20.85546875" style="200" bestFit="1" customWidth="1"/>
    <col min="5" max="5" width="22.5703125" style="200" bestFit="1" customWidth="1"/>
    <col min="6" max="6" width="12.85546875" style="200" bestFit="1" customWidth="1"/>
    <col min="7" max="7" width="19.42578125" style="200" bestFit="1" customWidth="1"/>
    <col min="8" max="9" width="24.85546875" style="200" customWidth="1"/>
    <col min="10" max="11" width="9.140625" style="200"/>
    <col min="12" max="12" width="12.5703125" style="200" customWidth="1"/>
    <col min="13" max="13" width="13.5703125" style="200" customWidth="1"/>
    <col min="14" max="14" width="11.7109375" style="200" customWidth="1"/>
    <col min="15" max="16" width="12.7109375" style="200" customWidth="1"/>
    <col min="17" max="17" width="11" style="200" bestFit="1" customWidth="1"/>
    <col min="18" max="19" width="9.85546875" style="200" bestFit="1" customWidth="1"/>
    <col min="20" max="20" width="11" style="200" bestFit="1" customWidth="1"/>
    <col min="21" max="21" width="9.28515625" style="200" bestFit="1" customWidth="1"/>
    <col min="22" max="22" width="10.28515625" style="200" bestFit="1" customWidth="1"/>
    <col min="23" max="23" width="9.7109375" style="200" bestFit="1" customWidth="1"/>
    <col min="24" max="27" width="9.140625" style="200"/>
    <col min="28" max="28" width="13.28515625" style="200" bestFit="1" customWidth="1"/>
    <col min="29" max="30" width="10.140625" style="200" bestFit="1" customWidth="1"/>
    <col min="31" max="35" width="9.140625" style="200"/>
    <col min="36" max="36" width="10.42578125" style="200" bestFit="1" customWidth="1"/>
    <col min="37" max="37" width="9.140625" style="200"/>
    <col min="38" max="38" width="10.140625" style="200" bestFit="1" customWidth="1"/>
    <col min="39" max="16384" width="9.140625" style="200"/>
  </cols>
  <sheetData>
    <row r="1" spans="1:39">
      <c r="A1" s="248"/>
      <c r="B1" s="248"/>
      <c r="C1" s="248"/>
      <c r="D1" s="248"/>
      <c r="E1" s="248"/>
      <c r="F1" s="248"/>
      <c r="G1" s="248"/>
    </row>
    <row r="2" spans="1:39">
      <c r="A2" s="248"/>
      <c r="B2" s="248"/>
      <c r="C2" s="248"/>
      <c r="D2" s="248"/>
      <c r="E2" s="248"/>
      <c r="F2" s="248"/>
      <c r="G2" s="248"/>
      <c r="R2" s="200">
        <v>6</v>
      </c>
      <c r="Z2" s="200">
        <v>16</v>
      </c>
      <c r="AA2" s="201" t="s">
        <v>210</v>
      </c>
    </row>
    <row r="3" spans="1:39">
      <c r="A3" s="208"/>
      <c r="B3" s="208"/>
      <c r="C3" s="208"/>
      <c r="D3" s="208"/>
      <c r="E3" s="208"/>
      <c r="F3" s="208"/>
      <c r="G3" s="208"/>
      <c r="H3" s="203"/>
      <c r="I3" s="203"/>
      <c r="J3" s="203"/>
      <c r="K3" s="202"/>
      <c r="L3" s="202"/>
      <c r="M3" s="202"/>
      <c r="N3" s="202"/>
      <c r="O3" s="202"/>
      <c r="P3" s="202"/>
      <c r="Q3" s="204">
        <v>41122</v>
      </c>
      <c r="R3" s="202"/>
      <c r="S3" s="202"/>
      <c r="T3" s="202"/>
      <c r="U3" s="202"/>
      <c r="V3" s="202"/>
      <c r="W3" s="202"/>
      <c r="X3" s="202">
        <v>1</v>
      </c>
      <c r="Y3" s="205">
        <v>-0.05</v>
      </c>
      <c r="Z3" s="202"/>
      <c r="AA3" s="206">
        <f>'Simulazione 10.1'!C53/100</f>
        <v>2.5000000000000001E-2</v>
      </c>
      <c r="AB3" s="202"/>
      <c r="AC3" s="202"/>
      <c r="AD3" s="202"/>
      <c r="AE3" s="202"/>
      <c r="AF3" s="202"/>
      <c r="AG3" s="202"/>
      <c r="AH3" s="202"/>
      <c r="AI3" s="202"/>
      <c r="AJ3" s="202"/>
      <c r="AK3" s="202"/>
      <c r="AL3" s="202"/>
      <c r="AM3" s="202"/>
    </row>
    <row r="4" spans="1:39">
      <c r="A4" s="208"/>
      <c r="B4" s="207"/>
      <c r="C4" s="207"/>
      <c r="D4" s="208"/>
      <c r="E4" s="208"/>
      <c r="F4" s="208"/>
      <c r="G4" s="208"/>
      <c r="H4" s="203"/>
      <c r="I4" s="203"/>
      <c r="J4" s="202"/>
      <c r="K4" s="202"/>
      <c r="L4" s="202"/>
      <c r="M4" s="202"/>
      <c r="N4" s="202"/>
      <c r="O4" s="202"/>
      <c r="P4" s="202"/>
      <c r="Q4" s="204">
        <v>41153</v>
      </c>
      <c r="R4" s="202"/>
      <c r="S4" s="202"/>
      <c r="T4" s="202"/>
      <c r="U4" s="202"/>
      <c r="V4" s="202"/>
      <c r="W4" s="202"/>
      <c r="X4" s="202">
        <v>2</v>
      </c>
      <c r="Y4" s="205">
        <v>-4.4999999999999998E-2</v>
      </c>
      <c r="Z4" s="202"/>
      <c r="AA4" s="202"/>
      <c r="AB4" s="202"/>
      <c r="AC4" s="202"/>
      <c r="AD4" s="202"/>
      <c r="AE4" s="202"/>
      <c r="AF4" s="202"/>
      <c r="AG4" s="202"/>
      <c r="AH4" s="202"/>
      <c r="AI4" s="202"/>
      <c r="AJ4" s="202"/>
      <c r="AK4" s="202"/>
      <c r="AL4" s="202"/>
      <c r="AM4" s="202"/>
    </row>
    <row r="5" spans="1:39">
      <c r="A5" s="208"/>
      <c r="B5" s="207"/>
      <c r="C5" s="207"/>
      <c r="D5" s="208"/>
      <c r="E5" s="208"/>
      <c r="F5" s="208"/>
      <c r="G5" s="208"/>
      <c r="H5" s="203"/>
      <c r="I5" s="203"/>
      <c r="J5" s="202"/>
      <c r="K5" s="202"/>
      <c r="L5" s="202"/>
      <c r="M5" s="202"/>
      <c r="N5" s="202"/>
      <c r="O5" s="202"/>
      <c r="P5" s="202"/>
      <c r="Q5" s="204">
        <v>41183</v>
      </c>
      <c r="R5" s="202"/>
      <c r="S5" s="202"/>
      <c r="T5" s="202"/>
      <c r="U5" s="202"/>
      <c r="V5" s="202"/>
      <c r="W5" s="202"/>
      <c r="X5" s="202">
        <v>3</v>
      </c>
      <c r="Y5" s="205">
        <v>-0.04</v>
      </c>
      <c r="Z5" s="202"/>
      <c r="AA5" s="202"/>
      <c r="AB5" s="202"/>
      <c r="AC5" s="202"/>
      <c r="AD5" s="202"/>
      <c r="AE5" s="202"/>
      <c r="AF5" s="202"/>
      <c r="AG5" s="202"/>
      <c r="AH5" s="202"/>
      <c r="AI5" s="202"/>
      <c r="AJ5" s="202"/>
      <c r="AK5" s="202"/>
      <c r="AL5" s="202"/>
      <c r="AM5" s="202"/>
    </row>
    <row r="6" spans="1:39">
      <c r="A6" s="208"/>
      <c r="B6" s="208"/>
      <c r="C6" s="208"/>
      <c r="D6" s="208"/>
      <c r="E6" s="208"/>
      <c r="F6" s="208"/>
      <c r="G6" s="208"/>
      <c r="H6" s="203"/>
      <c r="I6" s="203"/>
      <c r="J6" s="202"/>
      <c r="K6" s="202"/>
      <c r="L6" s="202"/>
      <c r="M6" s="202"/>
      <c r="N6" s="202"/>
      <c r="O6" s="202"/>
      <c r="P6" s="202"/>
      <c r="Q6" s="204">
        <v>41214</v>
      </c>
      <c r="R6" s="202"/>
      <c r="S6" s="202"/>
      <c r="T6" s="202"/>
      <c r="U6" s="202"/>
      <c r="V6" s="202"/>
      <c r="W6" s="202"/>
      <c r="X6" s="202">
        <v>4</v>
      </c>
      <c r="Y6" s="205">
        <v>-3.5000000000000003E-2</v>
      </c>
      <c r="Z6" s="202"/>
      <c r="AA6" s="202"/>
      <c r="AB6" s="202"/>
      <c r="AC6" s="202"/>
      <c r="AD6" s="202"/>
      <c r="AE6" s="202"/>
      <c r="AF6" s="202"/>
      <c r="AG6" s="202"/>
      <c r="AH6" s="202"/>
      <c r="AI6" s="202"/>
      <c r="AJ6" s="202"/>
      <c r="AK6" s="202"/>
      <c r="AL6" s="202"/>
      <c r="AM6" s="202"/>
    </row>
    <row r="7" spans="1:39">
      <c r="A7" s="208"/>
      <c r="B7" s="208"/>
      <c r="C7" s="208"/>
      <c r="D7" s="208"/>
      <c r="E7" s="208"/>
      <c r="F7" s="208"/>
      <c r="G7" s="208"/>
      <c r="H7" s="203"/>
      <c r="I7" s="203"/>
      <c r="J7" s="202"/>
      <c r="K7" s="202"/>
      <c r="L7" s="202"/>
      <c r="M7" s="202"/>
      <c r="N7" s="202"/>
      <c r="O7" s="202"/>
      <c r="P7" s="202"/>
      <c r="Q7" s="204">
        <v>41244</v>
      </c>
      <c r="R7" s="202"/>
      <c r="S7" s="202"/>
      <c r="T7" s="202"/>
      <c r="U7" s="202"/>
      <c r="V7" s="202"/>
      <c r="W7" s="202"/>
      <c r="X7" s="202">
        <v>5</v>
      </c>
      <c r="Y7" s="205">
        <v>-0.03</v>
      </c>
      <c r="Z7" s="202"/>
      <c r="AA7" s="202"/>
      <c r="AB7" s="202"/>
      <c r="AC7" s="202"/>
      <c r="AD7" s="202"/>
      <c r="AE7" s="202"/>
      <c r="AF7" s="202"/>
      <c r="AG7" s="202"/>
      <c r="AH7" s="202"/>
      <c r="AI7" s="202"/>
      <c r="AJ7" s="202"/>
      <c r="AK7" s="202"/>
      <c r="AL7" s="202"/>
      <c r="AM7" s="202"/>
    </row>
    <row r="8" spans="1:39">
      <c r="A8" s="208"/>
      <c r="B8" s="208"/>
      <c r="C8" s="208"/>
      <c r="D8" s="208"/>
      <c r="E8" s="208"/>
      <c r="F8" s="208"/>
      <c r="G8" s="208"/>
      <c r="H8" s="203"/>
      <c r="I8" s="203"/>
      <c r="J8" s="202"/>
      <c r="K8" s="202"/>
      <c r="L8" s="202"/>
      <c r="M8" s="202"/>
      <c r="N8" s="202"/>
      <c r="O8" s="202"/>
      <c r="P8" s="202"/>
      <c r="Q8" s="204">
        <v>41275</v>
      </c>
      <c r="R8" s="202"/>
      <c r="S8" s="202"/>
      <c r="T8" s="202"/>
      <c r="U8" s="202"/>
      <c r="V8" s="202"/>
      <c r="W8" s="202"/>
      <c r="X8" s="202">
        <v>6</v>
      </c>
      <c r="Y8" s="205">
        <v>-2.5000000000000001E-2</v>
      </c>
      <c r="Z8" s="202"/>
      <c r="AA8" s="202"/>
      <c r="AB8" s="202"/>
      <c r="AC8" s="202"/>
      <c r="AD8" s="202"/>
      <c r="AE8" s="202"/>
      <c r="AF8" s="202"/>
      <c r="AG8" s="202"/>
      <c r="AH8" s="202"/>
      <c r="AI8" s="202"/>
      <c r="AJ8" s="202"/>
      <c r="AK8" s="202"/>
      <c r="AL8" s="202"/>
      <c r="AM8" s="202"/>
    </row>
    <row r="9" spans="1:39">
      <c r="A9" s="208"/>
      <c r="B9" s="208"/>
      <c r="C9" s="208"/>
      <c r="D9" s="208"/>
      <c r="E9" s="208"/>
      <c r="F9" s="208"/>
      <c r="G9" s="208"/>
      <c r="H9" s="203"/>
      <c r="I9" s="203"/>
      <c r="J9" s="202"/>
      <c r="K9" s="202"/>
      <c r="L9" s="202"/>
      <c r="M9" s="202"/>
      <c r="N9" s="202"/>
      <c r="O9" s="202"/>
      <c r="P9" s="202"/>
      <c r="Q9" s="204">
        <v>41306</v>
      </c>
      <c r="R9" s="202"/>
      <c r="S9" s="202"/>
      <c r="T9" s="202"/>
      <c r="U9" s="202"/>
      <c r="V9" s="202"/>
      <c r="W9" s="202"/>
      <c r="X9" s="202">
        <v>7</v>
      </c>
      <c r="Y9" s="205">
        <v>-0.02</v>
      </c>
      <c r="Z9" s="202"/>
      <c r="AA9" s="202"/>
      <c r="AB9" s="202"/>
      <c r="AC9" s="202"/>
      <c r="AD9" s="202"/>
      <c r="AE9" s="202"/>
      <c r="AF9" s="202"/>
      <c r="AG9" s="202"/>
      <c r="AH9" s="202"/>
      <c r="AI9" s="202"/>
      <c r="AJ9" s="202"/>
      <c r="AK9" s="202"/>
      <c r="AL9" s="202"/>
      <c r="AM9" s="202"/>
    </row>
    <row r="10" spans="1:39" ht="14.25">
      <c r="A10" s="279"/>
      <c r="B10" s="280"/>
      <c r="C10" s="280"/>
      <c r="D10" s="208"/>
      <c r="E10" s="208"/>
      <c r="F10" s="208"/>
      <c r="G10" s="208"/>
      <c r="H10" s="203"/>
      <c r="I10" s="203"/>
      <c r="J10" s="202"/>
      <c r="K10" s="202"/>
      <c r="L10" s="202"/>
      <c r="M10" s="202"/>
      <c r="N10" s="202"/>
      <c r="O10" s="202"/>
      <c r="P10" s="202"/>
      <c r="Q10" s="204">
        <v>41334</v>
      </c>
      <c r="R10" s="202"/>
      <c r="S10" s="202"/>
      <c r="T10" s="202"/>
      <c r="U10" s="202"/>
      <c r="V10" s="202"/>
      <c r="W10" s="202"/>
      <c r="X10" s="202">
        <v>8</v>
      </c>
      <c r="Y10" s="205">
        <v>-1.4999999999999999E-2</v>
      </c>
      <c r="Z10" s="202"/>
      <c r="AA10" s="202"/>
      <c r="AB10" s="202"/>
      <c r="AC10" s="202"/>
      <c r="AD10" s="202"/>
      <c r="AE10" s="202"/>
      <c r="AF10" s="202"/>
      <c r="AG10" s="202"/>
      <c r="AH10" s="202"/>
      <c r="AI10" s="202"/>
      <c r="AJ10" s="202"/>
      <c r="AK10" s="202"/>
      <c r="AL10" s="202"/>
      <c r="AM10" s="202"/>
    </row>
    <row r="11" spans="1:39" ht="14.25">
      <c r="A11" s="279"/>
      <c r="B11" s="280"/>
      <c r="C11" s="280"/>
      <c r="D11" s="208"/>
      <c r="E11" s="208"/>
      <c r="F11" s="208"/>
      <c r="G11" s="208"/>
      <c r="H11" s="203"/>
      <c r="I11" s="203"/>
      <c r="J11" s="202"/>
      <c r="K11" s="202"/>
      <c r="L11" s="202"/>
      <c r="M11" s="202"/>
      <c r="N11" s="202"/>
      <c r="O11" s="202"/>
      <c r="P11" s="202"/>
      <c r="Q11" s="204">
        <v>41365</v>
      </c>
      <c r="R11" s="202"/>
      <c r="S11" s="202"/>
      <c r="T11" s="202"/>
      <c r="U11" s="202"/>
      <c r="V11" s="202"/>
      <c r="W11" s="202"/>
      <c r="X11" s="202">
        <v>9</v>
      </c>
      <c r="Y11" s="205">
        <v>-0.01</v>
      </c>
      <c r="Z11" s="202"/>
      <c r="AA11" s="202"/>
      <c r="AB11" s="202"/>
      <c r="AC11" s="202"/>
      <c r="AD11" s="202"/>
      <c r="AE11" s="202"/>
      <c r="AF11" s="202"/>
      <c r="AG11" s="202"/>
      <c r="AH11" s="202"/>
      <c r="AI11" s="202"/>
      <c r="AJ11" s="202"/>
      <c r="AK11" s="202"/>
      <c r="AL11" s="202"/>
      <c r="AM11" s="202"/>
    </row>
    <row r="12" spans="1:39">
      <c r="A12" s="208"/>
      <c r="B12" s="207"/>
      <c r="C12" s="207"/>
      <c r="D12" s="208"/>
      <c r="E12" s="208"/>
      <c r="F12" s="208"/>
      <c r="G12" s="208"/>
      <c r="H12" s="203"/>
      <c r="I12" s="203"/>
      <c r="J12" s="202"/>
      <c r="K12" s="202"/>
      <c r="L12" s="202"/>
      <c r="M12" s="202"/>
      <c r="N12" s="202"/>
      <c r="O12" s="202"/>
      <c r="P12" s="202"/>
      <c r="Q12" s="204">
        <v>41395</v>
      </c>
      <c r="R12" s="202"/>
      <c r="S12" s="202"/>
      <c r="T12" s="202"/>
      <c r="U12" s="202"/>
      <c r="V12" s="202"/>
      <c r="W12" s="202"/>
      <c r="X12" s="202">
        <v>10</v>
      </c>
      <c r="Y12" s="205">
        <v>-5.0000000000000001E-3</v>
      </c>
      <c r="Z12" s="202"/>
      <c r="AA12" s="202"/>
      <c r="AB12" s="202"/>
      <c r="AC12" s="202"/>
      <c r="AD12" s="202"/>
      <c r="AE12" s="202"/>
      <c r="AF12" s="202"/>
      <c r="AG12" s="202"/>
      <c r="AH12" s="202"/>
      <c r="AI12" s="202"/>
      <c r="AJ12" s="202"/>
      <c r="AK12" s="202"/>
      <c r="AL12" s="202"/>
      <c r="AM12" s="202"/>
    </row>
    <row r="13" spans="1:39">
      <c r="A13" s="209"/>
      <c r="B13" s="236"/>
      <c r="C13" s="236"/>
      <c r="D13" s="236"/>
      <c r="E13" s="236"/>
      <c r="F13" s="236"/>
      <c r="G13" s="208"/>
      <c r="H13" s="203"/>
      <c r="I13" s="203"/>
      <c r="J13" s="202"/>
      <c r="K13" s="202"/>
      <c r="L13" s="202"/>
      <c r="M13" s="202"/>
      <c r="N13" s="202"/>
      <c r="O13" s="202"/>
      <c r="P13" s="202"/>
      <c r="Q13" s="204">
        <v>41426</v>
      </c>
      <c r="R13" s="202"/>
      <c r="S13" s="202"/>
      <c r="T13" s="202"/>
      <c r="U13" s="202"/>
      <c r="V13" s="202"/>
      <c r="W13" s="202"/>
      <c r="X13" s="202">
        <v>11</v>
      </c>
      <c r="Y13" s="205">
        <v>0</v>
      </c>
      <c r="Z13" s="202"/>
      <c r="AA13" s="202"/>
      <c r="AB13" s="202"/>
      <c r="AC13" s="202"/>
      <c r="AD13" s="202"/>
      <c r="AE13" s="202"/>
      <c r="AF13" s="202"/>
      <c r="AG13" s="202"/>
      <c r="AH13" s="202"/>
      <c r="AI13" s="202"/>
      <c r="AJ13" s="202"/>
      <c r="AK13" s="202"/>
      <c r="AL13" s="202"/>
      <c r="AM13" s="202"/>
    </row>
    <row r="14" spans="1:39">
      <c r="A14" s="275"/>
      <c r="B14" s="275"/>
      <c r="C14" s="458"/>
      <c r="D14" s="275"/>
      <c r="E14" s="275"/>
      <c r="F14" s="275"/>
      <c r="G14" s="275"/>
      <c r="H14" s="203"/>
      <c r="I14" s="203"/>
      <c r="J14" s="202"/>
      <c r="K14" s="202"/>
      <c r="L14" s="202"/>
      <c r="M14" s="202"/>
      <c r="N14" s="202"/>
      <c r="O14" s="202"/>
      <c r="P14" s="202"/>
      <c r="Q14" s="204">
        <v>41456</v>
      </c>
      <c r="R14" s="202"/>
      <c r="S14" s="202"/>
      <c r="T14" s="202"/>
      <c r="U14" s="202"/>
      <c r="V14" s="202"/>
      <c r="W14" s="202"/>
      <c r="X14" s="202">
        <v>12</v>
      </c>
      <c r="Y14" s="205">
        <v>5.0000000000000001E-3</v>
      </c>
      <c r="Z14" s="202"/>
      <c r="AA14" s="202"/>
      <c r="AB14" s="202"/>
      <c r="AC14" s="202"/>
      <c r="AD14" s="202"/>
      <c r="AE14" s="202"/>
      <c r="AF14" s="202"/>
      <c r="AG14" s="202"/>
      <c r="AH14" s="202"/>
      <c r="AI14" s="202"/>
      <c r="AJ14" s="202"/>
      <c r="AK14" s="202"/>
      <c r="AL14" s="202"/>
      <c r="AM14" s="202"/>
    </row>
    <row r="15" spans="1:39">
      <c r="A15" s="281"/>
      <c r="B15" s="281"/>
      <c r="C15" s="281"/>
      <c r="D15" s="281"/>
      <c r="E15" s="281"/>
      <c r="F15" s="281"/>
      <c r="G15" s="281"/>
      <c r="H15" s="203"/>
      <c r="I15" s="203"/>
      <c r="J15" s="202"/>
      <c r="K15" s="202"/>
      <c r="L15" s="202"/>
      <c r="M15" s="202"/>
      <c r="N15" s="202"/>
      <c r="O15" s="202"/>
      <c r="P15" s="202"/>
      <c r="Q15" s="204">
        <v>41487</v>
      </c>
      <c r="R15" s="202"/>
      <c r="S15" s="202"/>
      <c r="T15" s="202"/>
      <c r="U15" s="202"/>
      <c r="V15" s="202"/>
      <c r="W15" s="202"/>
      <c r="X15" s="202">
        <v>13</v>
      </c>
      <c r="Y15" s="205">
        <v>0.01</v>
      </c>
      <c r="Z15" s="202"/>
      <c r="AA15" s="202"/>
      <c r="AB15" s="202"/>
      <c r="AC15" s="202"/>
      <c r="AD15" s="202"/>
      <c r="AE15" s="202"/>
      <c r="AF15" s="202"/>
      <c r="AG15" s="202"/>
      <c r="AH15" s="202"/>
      <c r="AI15" s="202"/>
      <c r="AJ15" s="202"/>
      <c r="AK15" s="202"/>
      <c r="AL15" s="202"/>
      <c r="AM15" s="202"/>
    </row>
    <row r="16" spans="1:39">
      <c r="A16" s="281"/>
      <c r="B16" s="208"/>
      <c r="C16" s="208"/>
      <c r="D16" s="208"/>
      <c r="E16" s="208"/>
      <c r="F16" s="208"/>
      <c r="G16" s="208"/>
      <c r="H16" s="203"/>
      <c r="I16" s="203"/>
      <c r="J16" s="202"/>
      <c r="K16" s="202"/>
      <c r="L16" s="202"/>
      <c r="M16" s="202"/>
      <c r="N16" s="202"/>
      <c r="O16" s="202"/>
      <c r="P16" s="202"/>
      <c r="Q16" s="204">
        <v>41518</v>
      </c>
      <c r="R16" s="202"/>
      <c r="S16" s="202"/>
      <c r="T16" s="202"/>
      <c r="U16" s="202"/>
      <c r="V16" s="202"/>
      <c r="W16" s="202"/>
      <c r="X16" s="202">
        <v>14</v>
      </c>
      <c r="Y16" s="205">
        <v>1.4999999999999999E-2</v>
      </c>
      <c r="Z16" s="202"/>
      <c r="AA16" s="202"/>
      <c r="AB16" s="202"/>
      <c r="AC16" s="202"/>
      <c r="AD16" s="202"/>
      <c r="AE16" s="202"/>
      <c r="AF16" s="202"/>
      <c r="AG16" s="202"/>
      <c r="AH16" s="202"/>
      <c r="AI16" s="202"/>
      <c r="AJ16" s="202"/>
      <c r="AK16" s="202"/>
      <c r="AL16" s="202"/>
      <c r="AM16" s="202"/>
    </row>
    <row r="17" spans="1:39">
      <c r="A17" s="282"/>
      <c r="B17" s="282"/>
      <c r="C17" s="282"/>
      <c r="D17" s="282"/>
      <c r="E17" s="282"/>
      <c r="F17" s="282"/>
      <c r="G17" s="282"/>
      <c r="H17" s="203"/>
      <c r="I17" s="203"/>
      <c r="J17" s="202"/>
      <c r="K17" s="202"/>
      <c r="L17" s="202"/>
      <c r="M17" s="202"/>
      <c r="N17" s="202"/>
      <c r="O17" s="202"/>
      <c r="P17" s="202"/>
      <c r="Q17" s="204">
        <v>41548</v>
      </c>
      <c r="R17" s="202"/>
      <c r="S17" s="202"/>
      <c r="T17" s="202"/>
      <c r="U17" s="202"/>
      <c r="V17" s="202"/>
      <c r="W17" s="202"/>
      <c r="X17" s="202">
        <v>15</v>
      </c>
      <c r="Y17" s="205">
        <v>0.02</v>
      </c>
      <c r="Z17" s="202"/>
      <c r="AA17" s="202"/>
      <c r="AB17" s="202"/>
      <c r="AC17" s="202"/>
      <c r="AD17" s="202"/>
      <c r="AE17" s="202"/>
      <c r="AF17" s="202"/>
      <c r="AG17" s="202"/>
      <c r="AH17" s="202"/>
      <c r="AI17" s="202"/>
      <c r="AJ17" s="202"/>
      <c r="AK17" s="202"/>
      <c r="AL17" s="202"/>
      <c r="AM17" s="202"/>
    </row>
    <row r="18" spans="1:39">
      <c r="A18" s="208"/>
      <c r="B18" s="208"/>
      <c r="C18" s="208"/>
      <c r="D18" s="208"/>
      <c r="E18" s="208"/>
      <c r="F18" s="208"/>
      <c r="G18" s="208"/>
      <c r="H18" s="203"/>
      <c r="I18" s="203"/>
      <c r="J18" s="202"/>
      <c r="K18" s="202"/>
      <c r="L18" s="202"/>
      <c r="M18" s="202"/>
      <c r="N18" s="202"/>
      <c r="O18" s="202"/>
      <c r="P18" s="202"/>
      <c r="Q18" s="204">
        <v>41579</v>
      </c>
      <c r="R18" s="202"/>
      <c r="S18" s="202"/>
      <c r="T18" s="202"/>
      <c r="U18" s="202"/>
      <c r="V18" s="202"/>
      <c r="W18" s="202"/>
      <c r="X18" s="202">
        <v>16</v>
      </c>
      <c r="Y18" s="205">
        <v>2.5000000000000001E-2</v>
      </c>
      <c r="Z18" s="202"/>
      <c r="AA18" s="202"/>
      <c r="AB18" s="202"/>
      <c r="AC18" s="202"/>
      <c r="AD18" s="202"/>
      <c r="AE18" s="202"/>
      <c r="AF18" s="202"/>
      <c r="AG18" s="202"/>
      <c r="AH18" s="202"/>
      <c r="AI18" s="202"/>
      <c r="AJ18" s="202"/>
      <c r="AK18" s="202"/>
      <c r="AL18" s="202"/>
      <c r="AM18" s="202"/>
    </row>
    <row r="19" spans="1:39">
      <c r="A19" s="275"/>
      <c r="B19" s="275"/>
      <c r="C19" s="458"/>
      <c r="D19" s="275"/>
      <c r="E19" s="275"/>
      <c r="F19" s="275"/>
      <c r="G19" s="275"/>
      <c r="H19" s="203"/>
      <c r="I19" s="203"/>
      <c r="J19" s="202"/>
      <c r="K19" s="202"/>
      <c r="L19" s="202"/>
      <c r="M19" s="202"/>
      <c r="N19" s="202"/>
      <c r="O19" s="202"/>
      <c r="P19" s="202"/>
      <c r="Q19" s="204">
        <v>41609</v>
      </c>
      <c r="R19" s="202"/>
      <c r="S19" s="202"/>
      <c r="T19" s="202"/>
      <c r="U19" s="202"/>
      <c r="V19" s="202"/>
      <c r="W19" s="202"/>
      <c r="X19" s="202">
        <v>17</v>
      </c>
      <c r="Y19" s="205">
        <v>0.03</v>
      </c>
      <c r="Z19" s="202"/>
      <c r="AA19" s="202"/>
      <c r="AB19" s="202"/>
      <c r="AC19" s="202"/>
      <c r="AD19" s="202"/>
      <c r="AE19" s="202"/>
      <c r="AF19" s="202"/>
      <c r="AG19" s="202"/>
      <c r="AH19" s="202"/>
      <c r="AI19" s="202"/>
      <c r="AJ19" s="202"/>
      <c r="AK19" s="202"/>
      <c r="AL19" s="202"/>
      <c r="AM19" s="202"/>
    </row>
    <row r="20" spans="1:39">
      <c r="A20" s="211"/>
      <c r="B20" s="211"/>
      <c r="C20" s="211"/>
      <c r="D20" s="211"/>
      <c r="E20" s="211"/>
      <c r="F20" s="211"/>
      <c r="G20" s="211"/>
      <c r="H20" s="203"/>
      <c r="I20" s="203"/>
      <c r="J20" s="202"/>
      <c r="K20" s="202"/>
      <c r="L20" s="202"/>
      <c r="M20" s="202"/>
      <c r="N20" s="202"/>
      <c r="O20" s="202"/>
      <c r="P20" s="202"/>
      <c r="Q20" s="204">
        <v>41640</v>
      </c>
      <c r="R20" s="202"/>
      <c r="S20" s="202"/>
      <c r="T20" s="202"/>
      <c r="U20" s="202"/>
      <c r="V20" s="202"/>
      <c r="W20" s="202"/>
      <c r="X20" s="202">
        <v>18</v>
      </c>
      <c r="Y20" s="205">
        <v>3.5000000000000003E-2</v>
      </c>
      <c r="Z20" s="202"/>
      <c r="AA20" s="202"/>
      <c r="AB20" s="202"/>
      <c r="AC20" s="202"/>
      <c r="AD20" s="202"/>
      <c r="AE20" s="202"/>
      <c r="AF20" s="202"/>
      <c r="AG20" s="202"/>
      <c r="AH20" s="202"/>
      <c r="AI20" s="202"/>
      <c r="AJ20" s="202"/>
      <c r="AK20" s="202"/>
      <c r="AL20" s="202"/>
      <c r="AM20" s="202"/>
    </row>
    <row r="21" spans="1:39">
      <c r="A21" s="211"/>
      <c r="B21" s="211"/>
      <c r="C21" s="211"/>
      <c r="D21" s="211"/>
      <c r="E21" s="211"/>
      <c r="F21" s="211"/>
      <c r="G21" s="211"/>
      <c r="H21" s="203"/>
      <c r="I21" s="203"/>
      <c r="J21" s="202"/>
      <c r="K21" s="202"/>
      <c r="L21" s="202"/>
      <c r="M21" s="202"/>
      <c r="N21" s="202"/>
      <c r="O21" s="202"/>
      <c r="P21" s="202"/>
      <c r="Q21" s="204">
        <v>41671</v>
      </c>
      <c r="R21" s="202"/>
      <c r="S21" s="202"/>
      <c r="T21" s="202"/>
      <c r="U21" s="202"/>
      <c r="V21" s="202"/>
      <c r="W21" s="202"/>
      <c r="X21" s="202">
        <v>19</v>
      </c>
      <c r="Y21" s="205">
        <v>0.04</v>
      </c>
      <c r="Z21" s="202"/>
      <c r="AA21" s="202"/>
      <c r="AB21" s="202"/>
      <c r="AC21" s="202"/>
      <c r="AD21" s="202"/>
      <c r="AE21" s="202"/>
      <c r="AF21" s="202"/>
      <c r="AG21" s="202"/>
      <c r="AH21" s="202"/>
      <c r="AI21" s="202"/>
      <c r="AJ21" s="202"/>
      <c r="AK21" s="202"/>
      <c r="AL21" s="202"/>
      <c r="AM21" s="202"/>
    </row>
    <row r="22" spans="1:39">
      <c r="A22" s="208"/>
      <c r="B22" s="208"/>
      <c r="C22" s="208"/>
      <c r="D22" s="208"/>
      <c r="E22" s="208"/>
      <c r="F22" s="208"/>
      <c r="G22" s="208"/>
      <c r="H22" s="203"/>
      <c r="I22" s="203"/>
      <c r="J22" s="202"/>
      <c r="K22" s="202"/>
      <c r="L22" s="202"/>
      <c r="M22" s="202"/>
      <c r="N22" s="202"/>
      <c r="O22" s="202"/>
      <c r="P22" s="202"/>
      <c r="Q22" s="204">
        <v>41699</v>
      </c>
      <c r="R22" s="202"/>
      <c r="S22" s="202"/>
      <c r="T22" s="202"/>
      <c r="U22" s="202"/>
      <c r="V22" s="202"/>
      <c r="W22" s="202"/>
      <c r="X22" s="202">
        <v>20</v>
      </c>
      <c r="Y22" s="205">
        <v>4.4999999999999998E-2</v>
      </c>
      <c r="Z22" s="202"/>
      <c r="AA22" s="202"/>
      <c r="AB22" s="202"/>
      <c r="AC22" s="202"/>
      <c r="AD22" s="202"/>
      <c r="AE22" s="202"/>
      <c r="AF22" s="202"/>
      <c r="AG22" s="202"/>
      <c r="AH22" s="202"/>
      <c r="AI22" s="202"/>
      <c r="AJ22" s="202"/>
      <c r="AK22" s="202"/>
      <c r="AL22" s="202"/>
      <c r="AM22" s="202"/>
    </row>
    <row r="23" spans="1:39">
      <c r="A23" s="208"/>
      <c r="B23" s="208"/>
      <c r="C23" s="208"/>
      <c r="D23" s="208"/>
      <c r="E23" s="208"/>
      <c r="F23" s="208"/>
      <c r="G23" s="208"/>
      <c r="H23" s="203"/>
      <c r="I23" s="203"/>
      <c r="J23" s="202"/>
      <c r="K23" s="202"/>
      <c r="L23" s="202"/>
      <c r="M23" s="202"/>
      <c r="N23" s="202"/>
      <c r="O23" s="202"/>
      <c r="P23" s="202"/>
      <c r="Q23" s="204">
        <v>41730</v>
      </c>
      <c r="R23" s="202"/>
      <c r="S23" s="202"/>
      <c r="T23" s="202"/>
      <c r="U23" s="202"/>
      <c r="V23" s="202"/>
      <c r="W23" s="202"/>
      <c r="X23" s="202">
        <v>21</v>
      </c>
      <c r="Y23" s="205">
        <v>0.05</v>
      </c>
      <c r="Z23" s="202"/>
      <c r="AA23" s="202"/>
      <c r="AB23" s="202"/>
      <c r="AC23" s="202"/>
      <c r="AD23" s="202"/>
      <c r="AE23" s="202"/>
      <c r="AF23" s="202"/>
      <c r="AG23" s="202"/>
      <c r="AH23" s="202"/>
      <c r="AI23" s="202"/>
      <c r="AJ23" s="202"/>
      <c r="AK23" s="202"/>
      <c r="AL23" s="202"/>
      <c r="AM23" s="202"/>
    </row>
    <row r="24" spans="1:39">
      <c r="A24" s="208"/>
      <c r="B24" s="208"/>
      <c r="C24" s="208"/>
      <c r="D24" s="208"/>
      <c r="E24" s="208"/>
      <c r="F24" s="208"/>
      <c r="G24" s="208"/>
      <c r="H24" s="203"/>
      <c r="I24" s="203"/>
      <c r="J24" s="202"/>
      <c r="K24" s="202"/>
      <c r="L24" s="202"/>
      <c r="M24" s="202"/>
      <c r="N24" s="202"/>
      <c r="O24" s="202"/>
      <c r="P24" s="202"/>
      <c r="Q24" s="204">
        <v>41760</v>
      </c>
      <c r="R24" s="202"/>
      <c r="S24" s="202"/>
      <c r="T24" s="202"/>
      <c r="U24" s="202"/>
      <c r="V24" s="202"/>
      <c r="W24" s="202"/>
      <c r="X24" s="202">
        <v>22</v>
      </c>
      <c r="Y24" s="205">
        <v>5.4999999999999903E-2</v>
      </c>
      <c r="Z24" s="202"/>
      <c r="AA24" s="202"/>
      <c r="AB24" s="202"/>
      <c r="AC24" s="202"/>
      <c r="AD24" s="202"/>
      <c r="AE24" s="202"/>
      <c r="AF24" s="202"/>
      <c r="AG24" s="202"/>
      <c r="AH24" s="202"/>
      <c r="AI24" s="202"/>
      <c r="AJ24" s="202"/>
      <c r="AK24" s="202"/>
      <c r="AL24" s="202"/>
      <c r="AM24" s="202"/>
    </row>
    <row r="25" spans="1:39">
      <c r="A25" s="208"/>
      <c r="B25" s="208"/>
      <c r="C25" s="208"/>
      <c r="D25" s="208"/>
      <c r="E25" s="208"/>
      <c r="F25" s="208"/>
      <c r="G25" s="208"/>
      <c r="H25" s="203"/>
      <c r="I25" s="203"/>
      <c r="J25" s="202"/>
      <c r="K25" s="202"/>
      <c r="L25" s="202"/>
      <c r="M25" s="202"/>
      <c r="N25" s="202"/>
      <c r="O25" s="202"/>
      <c r="P25" s="202"/>
      <c r="Q25" s="204">
        <v>41791</v>
      </c>
      <c r="R25" s="202"/>
      <c r="S25" s="202"/>
      <c r="T25" s="202"/>
      <c r="U25" s="202"/>
      <c r="V25" s="202"/>
      <c r="W25" s="202"/>
      <c r="X25" s="202">
        <v>23</v>
      </c>
      <c r="Y25" s="205">
        <v>0.06</v>
      </c>
      <c r="Z25" s="202"/>
      <c r="AA25" s="202"/>
      <c r="AB25" s="202"/>
      <c r="AC25" s="202"/>
      <c r="AD25" s="202"/>
      <c r="AE25" s="202"/>
      <c r="AF25" s="202"/>
      <c r="AG25" s="202"/>
      <c r="AH25" s="202"/>
      <c r="AI25" s="202"/>
      <c r="AJ25" s="202"/>
      <c r="AK25" s="202"/>
      <c r="AL25" s="202"/>
      <c r="AM25" s="202"/>
    </row>
    <row r="26" spans="1:39">
      <c r="A26" s="237"/>
      <c r="B26" s="208"/>
      <c r="C26" s="208"/>
      <c r="D26" s="208"/>
      <c r="E26" s="208"/>
      <c r="F26" s="208"/>
      <c r="G26" s="208"/>
      <c r="H26" s="203"/>
      <c r="I26" s="203"/>
      <c r="J26" s="202"/>
      <c r="K26" s="202"/>
      <c r="L26" s="202"/>
      <c r="M26" s="202"/>
      <c r="N26" s="202"/>
      <c r="O26" s="202"/>
      <c r="P26" s="202"/>
      <c r="Q26" s="204">
        <v>41821</v>
      </c>
      <c r="R26" s="202"/>
      <c r="S26" s="202"/>
      <c r="T26" s="202"/>
      <c r="U26" s="202"/>
      <c r="V26" s="202"/>
      <c r="W26" s="202"/>
      <c r="X26" s="202">
        <v>24</v>
      </c>
      <c r="Y26" s="205">
        <v>6.5000000000000002E-2</v>
      </c>
      <c r="Z26" s="202"/>
      <c r="AA26" s="202"/>
      <c r="AB26" s="202"/>
      <c r="AC26" s="202"/>
      <c r="AD26" s="202"/>
      <c r="AE26" s="202"/>
      <c r="AF26" s="202"/>
      <c r="AG26" s="202"/>
      <c r="AH26" s="202"/>
      <c r="AI26" s="202"/>
      <c r="AJ26" s="202"/>
      <c r="AK26" s="202"/>
      <c r="AL26" s="202"/>
      <c r="AM26" s="202"/>
    </row>
    <row r="27" spans="1:39">
      <c r="A27" s="208"/>
      <c r="B27" s="208"/>
      <c r="C27" s="208"/>
      <c r="D27" s="208"/>
      <c r="E27" s="208"/>
      <c r="F27" s="208"/>
      <c r="G27" s="208"/>
      <c r="H27" s="203"/>
      <c r="I27" s="203"/>
      <c r="J27" s="202"/>
      <c r="K27" s="202"/>
      <c r="L27" s="202"/>
      <c r="M27" s="202"/>
      <c r="N27" s="202"/>
      <c r="O27" s="202"/>
      <c r="P27" s="202"/>
      <c r="Q27" s="204">
        <v>41852</v>
      </c>
      <c r="R27" s="202"/>
      <c r="S27" s="202"/>
      <c r="T27" s="202"/>
      <c r="U27" s="202"/>
      <c r="V27" s="202"/>
      <c r="W27" s="202"/>
      <c r="X27" s="202">
        <v>25</v>
      </c>
      <c r="Y27" s="205">
        <v>7.0000000000000007E-2</v>
      </c>
      <c r="Z27" s="202"/>
      <c r="AA27" s="202"/>
      <c r="AB27" s="202"/>
      <c r="AC27" s="202"/>
      <c r="AD27" s="202"/>
      <c r="AE27" s="202"/>
      <c r="AF27" s="202"/>
      <c r="AG27" s="202"/>
      <c r="AH27" s="202"/>
      <c r="AI27" s="202"/>
      <c r="AJ27" s="202"/>
      <c r="AK27" s="202"/>
      <c r="AL27" s="202"/>
      <c r="AM27" s="202"/>
    </row>
    <row r="28" spans="1:39">
      <c r="A28" s="208"/>
      <c r="B28" s="208"/>
      <c r="C28" s="208"/>
      <c r="D28" s="208"/>
      <c r="E28" s="208"/>
      <c r="F28" s="208"/>
      <c r="G28" s="208"/>
      <c r="H28" s="203"/>
      <c r="I28" s="203"/>
      <c r="J28" s="202"/>
      <c r="K28" s="202"/>
      <c r="L28" s="202"/>
      <c r="M28" s="202"/>
      <c r="N28" s="202"/>
      <c r="O28" s="202"/>
      <c r="P28" s="202"/>
      <c r="Q28" s="204">
        <v>41883</v>
      </c>
      <c r="R28" s="202"/>
      <c r="S28" s="202"/>
      <c r="T28" s="202"/>
      <c r="U28" s="202"/>
      <c r="V28" s="202"/>
      <c r="W28" s="202"/>
      <c r="X28" s="202">
        <v>26</v>
      </c>
      <c r="Y28" s="205">
        <v>7.4999999999999997E-2</v>
      </c>
      <c r="Z28" s="202"/>
      <c r="AA28" s="202"/>
      <c r="AB28" s="202"/>
      <c r="AC28" s="202"/>
      <c r="AD28" s="202"/>
      <c r="AE28" s="202"/>
      <c r="AF28" s="202"/>
      <c r="AG28" s="202"/>
      <c r="AH28" s="202"/>
      <c r="AI28" s="202"/>
      <c r="AJ28" s="202"/>
      <c r="AK28" s="202"/>
      <c r="AL28" s="202"/>
      <c r="AM28" s="202"/>
    </row>
    <row r="29" spans="1:39">
      <c r="A29" s="275"/>
      <c r="B29" s="275"/>
      <c r="C29" s="458"/>
      <c r="D29" s="275"/>
      <c r="E29" s="275"/>
      <c r="F29" s="275"/>
      <c r="G29" s="275"/>
      <c r="H29" s="203"/>
      <c r="I29" s="203"/>
      <c r="J29" s="202"/>
      <c r="K29" s="202"/>
      <c r="L29" s="202"/>
      <c r="M29" s="202"/>
      <c r="N29" s="202"/>
      <c r="O29" s="202"/>
      <c r="P29" s="202"/>
      <c r="Q29" s="204">
        <v>41913</v>
      </c>
      <c r="R29" s="202"/>
      <c r="S29" s="202"/>
      <c r="T29" s="202"/>
      <c r="U29" s="202"/>
      <c r="V29" s="202"/>
      <c r="W29" s="202"/>
      <c r="X29" s="202">
        <v>27</v>
      </c>
      <c r="Y29" s="205">
        <v>0.08</v>
      </c>
      <c r="Z29" s="202"/>
      <c r="AA29" s="202"/>
      <c r="AB29" s="202"/>
      <c r="AC29" s="202"/>
      <c r="AD29" s="202"/>
      <c r="AE29" s="202"/>
      <c r="AF29" s="202"/>
      <c r="AG29" s="202"/>
      <c r="AH29" s="202"/>
      <c r="AI29" s="202"/>
      <c r="AJ29" s="202"/>
      <c r="AK29" s="202"/>
      <c r="AL29" s="202"/>
      <c r="AM29" s="202"/>
    </row>
    <row r="30" spans="1:39">
      <c r="A30" s="283"/>
      <c r="B30" s="283"/>
      <c r="C30" s="283"/>
      <c r="D30" s="283"/>
      <c r="E30" s="283"/>
      <c r="F30" s="283"/>
      <c r="G30" s="283"/>
      <c r="H30" s="203"/>
      <c r="I30" s="203"/>
      <c r="J30" s="202"/>
      <c r="K30" s="202"/>
      <c r="L30" s="202"/>
      <c r="M30" s="202"/>
      <c r="N30" s="202"/>
      <c r="O30" s="202"/>
      <c r="P30" s="202"/>
      <c r="Q30" s="204">
        <v>41944</v>
      </c>
      <c r="R30" s="202"/>
      <c r="S30" s="202"/>
      <c r="T30" s="202"/>
      <c r="U30" s="202"/>
      <c r="V30" s="202"/>
      <c r="W30" s="202"/>
      <c r="X30" s="202">
        <v>28</v>
      </c>
      <c r="Y30" s="205">
        <v>8.5000000000000006E-2</v>
      </c>
      <c r="Z30" s="202"/>
      <c r="AA30" s="202"/>
      <c r="AB30" s="202"/>
      <c r="AC30" s="202"/>
      <c r="AD30" s="202"/>
      <c r="AE30" s="202"/>
      <c r="AF30" s="202"/>
      <c r="AG30" s="202"/>
      <c r="AH30" s="202"/>
      <c r="AI30" s="202"/>
      <c r="AJ30" s="202"/>
      <c r="AK30" s="202"/>
      <c r="AL30" s="202"/>
      <c r="AM30" s="202"/>
    </row>
    <row r="31" spans="1:39">
      <c r="A31" s="237"/>
      <c r="B31" s="211"/>
      <c r="C31" s="211"/>
      <c r="D31" s="211"/>
      <c r="E31" s="211"/>
      <c r="F31" s="211"/>
      <c r="G31" s="211"/>
      <c r="H31" s="203"/>
      <c r="I31" s="203"/>
      <c r="J31" s="202"/>
      <c r="K31" s="202"/>
      <c r="L31" s="202"/>
      <c r="M31" s="202"/>
      <c r="N31" s="202"/>
      <c r="O31" s="202"/>
      <c r="P31" s="202"/>
      <c r="Q31" s="204">
        <v>41974</v>
      </c>
      <c r="R31" s="202"/>
      <c r="S31" s="202"/>
      <c r="T31" s="202"/>
      <c r="U31" s="202"/>
      <c r="V31" s="202"/>
      <c r="W31" s="202"/>
      <c r="X31" s="202">
        <v>29</v>
      </c>
      <c r="Y31" s="205">
        <v>0.09</v>
      </c>
      <c r="Z31" s="202"/>
      <c r="AA31" s="202"/>
      <c r="AB31" s="202"/>
      <c r="AC31" s="202"/>
      <c r="AD31" s="202"/>
      <c r="AE31" s="202"/>
      <c r="AF31" s="202"/>
      <c r="AG31" s="202"/>
      <c r="AH31" s="202"/>
      <c r="AI31" s="202"/>
      <c r="AJ31" s="202"/>
      <c r="AK31" s="202"/>
      <c r="AL31" s="202"/>
      <c r="AM31" s="202"/>
    </row>
    <row r="32" spans="1:39">
      <c r="A32" s="208"/>
      <c r="B32" s="208"/>
      <c r="C32" s="208"/>
      <c r="D32" s="208"/>
      <c r="E32" s="208"/>
      <c r="F32" s="208"/>
      <c r="G32" s="208"/>
      <c r="H32" s="203"/>
      <c r="I32" s="203"/>
      <c r="J32" s="202"/>
      <c r="K32" s="202"/>
      <c r="L32" s="202"/>
      <c r="M32" s="202"/>
      <c r="N32" s="202"/>
      <c r="O32" s="202"/>
      <c r="P32" s="202"/>
      <c r="Q32" s="202"/>
      <c r="R32" s="202"/>
      <c r="S32" s="202"/>
      <c r="T32" s="202"/>
      <c r="U32" s="202"/>
      <c r="V32" s="202"/>
      <c r="W32" s="202"/>
      <c r="X32" s="202">
        <v>30</v>
      </c>
      <c r="Y32" s="205">
        <v>9.5000000000000001E-2</v>
      </c>
      <c r="Z32" s="202"/>
      <c r="AA32" s="202"/>
      <c r="AB32" s="202"/>
      <c r="AC32" s="202"/>
      <c r="AD32" s="202"/>
      <c r="AE32" s="202"/>
      <c r="AF32" s="202"/>
      <c r="AG32" s="202"/>
      <c r="AH32" s="202"/>
      <c r="AI32" s="202"/>
      <c r="AJ32" s="202"/>
      <c r="AK32" s="202"/>
      <c r="AL32" s="202"/>
      <c r="AM32" s="202"/>
    </row>
    <row r="33" spans="1:39">
      <c r="A33" s="208"/>
      <c r="B33" s="208"/>
      <c r="C33" s="208"/>
      <c r="D33" s="208"/>
      <c r="E33" s="208"/>
      <c r="F33" s="208"/>
      <c r="G33" s="208"/>
      <c r="H33" s="203"/>
      <c r="I33" s="203"/>
      <c r="J33" s="202"/>
      <c r="K33" s="202"/>
      <c r="L33" s="202"/>
      <c r="M33" s="202"/>
      <c r="N33" s="202"/>
      <c r="O33" s="202"/>
      <c r="P33" s="202"/>
      <c r="Q33" s="202"/>
      <c r="R33" s="202"/>
      <c r="S33" s="202"/>
      <c r="T33" s="202"/>
      <c r="U33" s="202"/>
      <c r="V33" s="202"/>
      <c r="W33" s="202"/>
      <c r="X33" s="202">
        <v>31</v>
      </c>
      <c r="Y33" s="205">
        <v>0.1</v>
      </c>
      <c r="Z33" s="202"/>
      <c r="AA33" s="202"/>
      <c r="AB33" s="202"/>
      <c r="AC33" s="202"/>
      <c r="AD33" s="202"/>
      <c r="AE33" s="202"/>
      <c r="AF33" s="202"/>
      <c r="AG33" s="202"/>
      <c r="AH33" s="202"/>
      <c r="AI33" s="202"/>
      <c r="AJ33" s="202"/>
      <c r="AK33" s="202"/>
      <c r="AL33" s="202"/>
      <c r="AM33" s="202"/>
    </row>
    <row r="34" spans="1:39">
      <c r="A34" s="208"/>
      <c r="B34" s="208"/>
      <c r="C34" s="208"/>
      <c r="D34" s="208"/>
      <c r="E34" s="208"/>
      <c r="F34" s="208"/>
      <c r="G34" s="208"/>
      <c r="H34" s="203"/>
      <c r="I34" s="203"/>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row>
    <row r="35" spans="1:39">
      <c r="A35" s="208"/>
      <c r="B35" s="208"/>
      <c r="C35" s="208"/>
      <c r="D35" s="208"/>
      <c r="E35" s="208"/>
      <c r="F35" s="208"/>
      <c r="G35" s="208"/>
      <c r="H35" s="203"/>
      <c r="I35" s="203"/>
      <c r="J35" s="208"/>
      <c r="K35" s="550" t="s">
        <v>211</v>
      </c>
      <c r="L35" s="552" t="s">
        <v>212</v>
      </c>
      <c r="M35" s="553"/>
      <c r="N35" s="553"/>
      <c r="O35" s="553"/>
      <c r="P35" s="553"/>
      <c r="Q35" s="553"/>
      <c r="R35" s="553"/>
      <c r="S35" s="553"/>
      <c r="T35" s="553"/>
      <c r="U35" s="553"/>
      <c r="V35" s="553"/>
      <c r="W35" s="554"/>
      <c r="X35" s="213"/>
      <c r="Y35" s="214"/>
      <c r="Z35" s="202"/>
      <c r="AA35" s="202"/>
      <c r="AB35" s="202"/>
      <c r="AC35" s="202"/>
      <c r="AD35" s="202"/>
      <c r="AE35" s="202"/>
      <c r="AF35" s="202"/>
      <c r="AG35" s="202"/>
      <c r="AH35" s="202"/>
      <c r="AI35" s="202"/>
      <c r="AJ35" s="202"/>
      <c r="AK35" s="202"/>
      <c r="AL35" s="202"/>
      <c r="AM35" s="202"/>
    </row>
    <row r="36" spans="1:39">
      <c r="A36" s="275"/>
      <c r="B36" s="275"/>
      <c r="C36" s="458"/>
      <c r="D36" s="275"/>
      <c r="E36" s="275"/>
      <c r="F36" s="275"/>
      <c r="G36" s="275"/>
      <c r="H36" s="203"/>
      <c r="I36" s="203"/>
      <c r="J36" s="208"/>
      <c r="K36" s="551"/>
      <c r="L36" s="555"/>
      <c r="M36" s="556"/>
      <c r="N36" s="556"/>
      <c r="O36" s="556"/>
      <c r="P36" s="556"/>
      <c r="Q36" s="556"/>
      <c r="R36" s="556"/>
      <c r="S36" s="556"/>
      <c r="T36" s="556"/>
      <c r="U36" s="556"/>
      <c r="V36" s="556"/>
      <c r="W36" s="557"/>
      <c r="X36" s="215"/>
      <c r="Y36" s="216"/>
      <c r="Z36" s="202"/>
      <c r="AA36" s="202"/>
      <c r="AB36" s="202"/>
      <c r="AC36" s="202"/>
      <c r="AD36" s="202"/>
      <c r="AE36" s="202"/>
      <c r="AF36" s="202"/>
      <c r="AG36" s="202"/>
      <c r="AH36" s="202"/>
      <c r="AI36" s="202"/>
      <c r="AJ36" s="202"/>
      <c r="AK36" s="202"/>
      <c r="AL36" s="202"/>
      <c r="AM36" s="202"/>
    </row>
    <row r="37" spans="1:39">
      <c r="A37" s="211"/>
      <c r="B37" s="211"/>
      <c r="C37" s="211"/>
      <c r="D37" s="211"/>
      <c r="E37" s="211"/>
      <c r="F37" s="211"/>
      <c r="G37" s="211"/>
      <c r="H37" s="203"/>
      <c r="I37" s="203"/>
      <c r="J37" s="208"/>
      <c r="K37" s="217"/>
      <c r="L37" s="218"/>
      <c r="M37" s="219"/>
      <c r="N37" s="219"/>
      <c r="O37" s="219"/>
      <c r="P37" s="219"/>
      <c r="Q37" s="219"/>
      <c r="R37" s="219"/>
      <c r="S37" s="219"/>
      <c r="T37" s="219"/>
      <c r="U37" s="219"/>
      <c r="V37" s="219"/>
      <c r="W37" s="220"/>
      <c r="X37" s="221"/>
      <c r="Y37" s="222"/>
      <c r="Z37" s="202"/>
      <c r="AA37" s="545" t="s">
        <v>213</v>
      </c>
      <c r="AB37" s="546"/>
      <c r="AC37" s="546"/>
      <c r="AD37" s="546"/>
      <c r="AE37" s="546"/>
      <c r="AF37" s="546"/>
      <c r="AG37" s="546"/>
      <c r="AH37" s="546"/>
      <c r="AI37" s="546"/>
      <c r="AJ37" s="546"/>
      <c r="AK37" s="546"/>
      <c r="AL37" s="546"/>
      <c r="AM37" s="547"/>
    </row>
    <row r="38" spans="1:39" ht="26.25" thickBot="1">
      <c r="A38" s="211"/>
      <c r="B38" s="211"/>
      <c r="C38" s="211"/>
      <c r="D38" s="211"/>
      <c r="E38" s="211"/>
      <c r="F38" s="211"/>
      <c r="G38" s="211"/>
      <c r="H38" s="203"/>
      <c r="I38" s="203"/>
      <c r="J38" s="223"/>
      <c r="K38" s="224" t="s">
        <v>214</v>
      </c>
      <c r="L38" s="225" t="s">
        <v>215</v>
      </c>
      <c r="M38" s="225" t="s">
        <v>216</v>
      </c>
      <c r="N38" s="225" t="s">
        <v>217</v>
      </c>
      <c r="O38" s="225" t="s">
        <v>218</v>
      </c>
      <c r="P38" s="225" t="s">
        <v>219</v>
      </c>
      <c r="Q38" s="225" t="s">
        <v>220</v>
      </c>
      <c r="R38" s="225" t="s">
        <v>221</v>
      </c>
      <c r="S38" s="225" t="s">
        <v>222</v>
      </c>
      <c r="T38" s="225" t="s">
        <v>223</v>
      </c>
      <c r="U38" s="225" t="s">
        <v>224</v>
      </c>
      <c r="V38" s="225" t="s">
        <v>225</v>
      </c>
      <c r="W38" s="225" t="s">
        <v>226</v>
      </c>
      <c r="X38" s="226" t="s">
        <v>227</v>
      </c>
      <c r="Y38" s="227"/>
      <c r="Z38" s="202"/>
      <c r="AA38" s="228" t="s">
        <v>214</v>
      </c>
      <c r="AB38" s="229" t="s">
        <v>215</v>
      </c>
      <c r="AC38" s="229" t="s">
        <v>216</v>
      </c>
      <c r="AD38" s="229" t="s">
        <v>217</v>
      </c>
      <c r="AE38" s="229" t="s">
        <v>218</v>
      </c>
      <c r="AF38" s="229" t="s">
        <v>219</v>
      </c>
      <c r="AG38" s="229" t="s">
        <v>220</v>
      </c>
      <c r="AH38" s="229" t="s">
        <v>221</v>
      </c>
      <c r="AI38" s="229" t="s">
        <v>222</v>
      </c>
      <c r="AJ38" s="229" t="s">
        <v>223</v>
      </c>
      <c r="AK38" s="229" t="s">
        <v>224</v>
      </c>
      <c r="AL38" s="229" t="s">
        <v>225</v>
      </c>
      <c r="AM38" s="229" t="s">
        <v>226</v>
      </c>
    </row>
    <row r="39" spans="1:39" ht="13.5" thickBot="1">
      <c r="A39" s="238"/>
      <c r="B39" s="238"/>
      <c r="C39" s="238"/>
      <c r="D39" s="238"/>
      <c r="E39" s="238"/>
      <c r="F39" s="238"/>
      <c r="G39" s="238"/>
      <c r="H39" s="203"/>
      <c r="I39" s="203"/>
      <c r="J39" s="223"/>
      <c r="K39" s="230">
        <v>0</v>
      </c>
      <c r="L39" s="231">
        <v>0.03</v>
      </c>
      <c r="M39" s="231">
        <v>0.03</v>
      </c>
      <c r="N39" s="231">
        <v>0.03</v>
      </c>
      <c r="O39" s="231">
        <v>0.03</v>
      </c>
      <c r="P39" s="231">
        <v>0.03</v>
      </c>
      <c r="Q39" s="231">
        <v>0.03</v>
      </c>
      <c r="R39" s="231">
        <v>0.03</v>
      </c>
      <c r="S39" s="231">
        <v>0.03</v>
      </c>
      <c r="T39" s="231">
        <v>0.03</v>
      </c>
      <c r="U39" s="231">
        <v>0.03</v>
      </c>
      <c r="V39" s="231">
        <v>0.03</v>
      </c>
      <c r="W39" s="231">
        <v>0.03</v>
      </c>
      <c r="X39" s="232">
        <f>AVERAGE(L39:W39)</f>
        <v>3.0000000000000009E-2</v>
      </c>
      <c r="Y39" s="233"/>
      <c r="Z39" s="202"/>
      <c r="AA39" s="234">
        <v>0</v>
      </c>
      <c r="AB39" s="235">
        <v>0</v>
      </c>
      <c r="AC39" s="235">
        <v>0</v>
      </c>
      <c r="AD39" s="235">
        <v>0</v>
      </c>
      <c r="AE39" s="235">
        <v>0</v>
      </c>
      <c r="AF39" s="235">
        <v>0</v>
      </c>
      <c r="AG39" s="235">
        <v>0</v>
      </c>
      <c r="AH39" s="235">
        <v>0</v>
      </c>
      <c r="AI39" s="235">
        <v>0</v>
      </c>
      <c r="AJ39" s="235">
        <v>0</v>
      </c>
      <c r="AK39" s="235">
        <v>0</v>
      </c>
      <c r="AL39" s="235">
        <v>0</v>
      </c>
      <c r="AM39" s="235">
        <v>0</v>
      </c>
    </row>
    <row r="40" spans="1:39" ht="13.5" thickBot="1">
      <c r="A40" s="211"/>
      <c r="B40" s="211"/>
      <c r="C40" s="211"/>
      <c r="D40" s="211"/>
      <c r="E40" s="211"/>
      <c r="F40" s="211"/>
      <c r="G40" s="211"/>
      <c r="H40" s="203"/>
      <c r="I40" s="203"/>
      <c r="J40" s="223"/>
      <c r="K40" s="230">
        <v>1</v>
      </c>
      <c r="L40" s="231">
        <v>0.02</v>
      </c>
      <c r="M40" s="231">
        <v>0.02</v>
      </c>
      <c r="N40" s="231">
        <v>0.02</v>
      </c>
      <c r="O40" s="231">
        <v>0.02</v>
      </c>
      <c r="P40" s="231">
        <v>0.02</v>
      </c>
      <c r="Q40" s="231">
        <v>0.02</v>
      </c>
      <c r="R40" s="231">
        <v>0.02</v>
      </c>
      <c r="S40" s="231">
        <v>0.02</v>
      </c>
      <c r="T40" s="231">
        <v>0.02</v>
      </c>
      <c r="U40" s="231">
        <v>0.02</v>
      </c>
      <c r="V40" s="231">
        <v>0.02</v>
      </c>
      <c r="W40" s="231">
        <v>0.02</v>
      </c>
      <c r="X40" s="232">
        <f t="shared" ref="X40:X62" si="0">AVERAGE(L40:W40)</f>
        <v>1.9999999999999997E-2</v>
      </c>
      <c r="Y40" s="233"/>
      <c r="Z40" s="202"/>
      <c r="AA40" s="234">
        <v>1</v>
      </c>
      <c r="AB40" s="235">
        <v>0</v>
      </c>
      <c r="AC40" s="235">
        <v>0</v>
      </c>
      <c r="AD40" s="235">
        <v>0</v>
      </c>
      <c r="AE40" s="235">
        <v>0</v>
      </c>
      <c r="AF40" s="235">
        <v>0</v>
      </c>
      <c r="AG40" s="235">
        <v>0</v>
      </c>
      <c r="AH40" s="235">
        <v>0</v>
      </c>
      <c r="AI40" s="235">
        <v>0</v>
      </c>
      <c r="AJ40" s="235">
        <v>0</v>
      </c>
      <c r="AK40" s="235">
        <v>0</v>
      </c>
      <c r="AL40" s="235">
        <v>0</v>
      </c>
      <c r="AM40" s="235">
        <v>0</v>
      </c>
    </row>
    <row r="41" spans="1:39" ht="13.5" thickBot="1">
      <c r="A41" s="208"/>
      <c r="B41" s="208"/>
      <c r="C41" s="208"/>
      <c r="D41" s="208"/>
      <c r="E41" s="208"/>
      <c r="F41" s="208"/>
      <c r="G41" s="208"/>
      <c r="H41" s="203"/>
      <c r="I41" s="203"/>
      <c r="J41" s="223"/>
      <c r="K41" s="230">
        <v>2</v>
      </c>
      <c r="L41" s="231">
        <v>0.02</v>
      </c>
      <c r="M41" s="231">
        <v>0.02</v>
      </c>
      <c r="N41" s="231">
        <v>0.02</v>
      </c>
      <c r="O41" s="231">
        <v>0.02</v>
      </c>
      <c r="P41" s="231">
        <v>0.02</v>
      </c>
      <c r="Q41" s="231">
        <v>0.02</v>
      </c>
      <c r="R41" s="231">
        <v>0.02</v>
      </c>
      <c r="S41" s="231">
        <v>0.02</v>
      </c>
      <c r="T41" s="231">
        <v>0.02</v>
      </c>
      <c r="U41" s="231">
        <v>0.02</v>
      </c>
      <c r="V41" s="231">
        <v>0.02</v>
      </c>
      <c r="W41" s="231">
        <v>0.02</v>
      </c>
      <c r="X41" s="232">
        <f t="shared" si="0"/>
        <v>1.9999999999999997E-2</v>
      </c>
      <c r="Y41" s="233"/>
      <c r="Z41" s="202"/>
      <c r="AA41" s="234">
        <v>2</v>
      </c>
      <c r="AB41" s="235">
        <v>0</v>
      </c>
      <c r="AC41" s="235">
        <v>0</v>
      </c>
      <c r="AD41" s="235">
        <v>0</v>
      </c>
      <c r="AE41" s="235">
        <v>0</v>
      </c>
      <c r="AF41" s="235">
        <v>0</v>
      </c>
      <c r="AG41" s="235">
        <v>0</v>
      </c>
      <c r="AH41" s="235">
        <v>0</v>
      </c>
      <c r="AI41" s="235">
        <v>0</v>
      </c>
      <c r="AJ41" s="235">
        <v>0</v>
      </c>
      <c r="AK41" s="235">
        <v>0</v>
      </c>
      <c r="AL41" s="235">
        <v>0</v>
      </c>
      <c r="AM41" s="235">
        <v>0</v>
      </c>
    </row>
    <row r="42" spans="1:39" ht="16.5" thickBot="1">
      <c r="A42" s="284"/>
      <c r="B42" s="208"/>
      <c r="C42" s="208"/>
      <c r="D42" s="236"/>
      <c r="E42" s="236"/>
      <c r="F42" s="236"/>
      <c r="G42" s="236"/>
      <c r="H42" s="203"/>
      <c r="I42" s="203"/>
      <c r="J42" s="223"/>
      <c r="K42" s="230">
        <v>3</v>
      </c>
      <c r="L42" s="231">
        <v>0.02</v>
      </c>
      <c r="M42" s="231">
        <v>0.02</v>
      </c>
      <c r="N42" s="231">
        <v>0.02</v>
      </c>
      <c r="O42" s="231">
        <v>0.02</v>
      </c>
      <c r="P42" s="231">
        <v>0.02</v>
      </c>
      <c r="Q42" s="231">
        <v>0.02</v>
      </c>
      <c r="R42" s="231">
        <v>0.02</v>
      </c>
      <c r="S42" s="231">
        <v>0.02</v>
      </c>
      <c r="T42" s="231">
        <v>0.02</v>
      </c>
      <c r="U42" s="231">
        <v>0.02</v>
      </c>
      <c r="V42" s="231">
        <v>0.02</v>
      </c>
      <c r="W42" s="231">
        <v>0.02</v>
      </c>
      <c r="X42" s="232">
        <f t="shared" si="0"/>
        <v>1.9999999999999997E-2</v>
      </c>
      <c r="Y42" s="233"/>
      <c r="Z42" s="202"/>
      <c r="AA42" s="234">
        <v>3</v>
      </c>
      <c r="AB42" s="235">
        <v>0</v>
      </c>
      <c r="AC42" s="235">
        <v>0</v>
      </c>
      <c r="AD42" s="235">
        <v>0</v>
      </c>
      <c r="AE42" s="235">
        <v>0</v>
      </c>
      <c r="AF42" s="235">
        <v>0</v>
      </c>
      <c r="AG42" s="235">
        <v>0</v>
      </c>
      <c r="AH42" s="235">
        <v>0</v>
      </c>
      <c r="AI42" s="235">
        <v>0</v>
      </c>
      <c r="AJ42" s="235">
        <v>0</v>
      </c>
      <c r="AK42" s="235">
        <v>0</v>
      </c>
      <c r="AL42" s="235">
        <v>0</v>
      </c>
      <c r="AM42" s="235">
        <v>0</v>
      </c>
    </row>
    <row r="43" spans="1:39" ht="13.5" thickBot="1">
      <c r="A43" s="208"/>
      <c r="B43" s="208"/>
      <c r="C43" s="208"/>
      <c r="D43" s="208"/>
      <c r="E43" s="208"/>
      <c r="F43" s="208"/>
      <c r="G43" s="208"/>
      <c r="H43" s="203"/>
      <c r="I43" s="203"/>
      <c r="J43" s="223"/>
      <c r="K43" s="230">
        <v>4</v>
      </c>
      <c r="L43" s="231">
        <v>0.02</v>
      </c>
      <c r="M43" s="231">
        <v>0.02</v>
      </c>
      <c r="N43" s="231">
        <v>0.02</v>
      </c>
      <c r="O43" s="231">
        <v>0.02</v>
      </c>
      <c r="P43" s="231">
        <v>0.02</v>
      </c>
      <c r="Q43" s="231">
        <v>0.02</v>
      </c>
      <c r="R43" s="231">
        <v>0.02</v>
      </c>
      <c r="S43" s="231">
        <v>0.02</v>
      </c>
      <c r="T43" s="231">
        <v>0.02</v>
      </c>
      <c r="U43" s="231">
        <v>0.02</v>
      </c>
      <c r="V43" s="231">
        <v>0.02</v>
      </c>
      <c r="W43" s="231">
        <v>0.02</v>
      </c>
      <c r="X43" s="232">
        <f t="shared" si="0"/>
        <v>1.9999999999999997E-2</v>
      </c>
      <c r="Y43" s="233"/>
      <c r="Z43" s="202"/>
      <c r="AA43" s="234">
        <v>4</v>
      </c>
      <c r="AB43" s="235">
        <v>0</v>
      </c>
      <c r="AC43" s="235">
        <v>0</v>
      </c>
      <c r="AD43" s="235">
        <v>0</v>
      </c>
      <c r="AE43" s="235">
        <v>0</v>
      </c>
      <c r="AF43" s="235">
        <v>0</v>
      </c>
      <c r="AG43" s="235">
        <v>0</v>
      </c>
      <c r="AH43" s="235">
        <v>0</v>
      </c>
      <c r="AI43" s="235">
        <v>0</v>
      </c>
      <c r="AJ43" s="235">
        <v>0</v>
      </c>
      <c r="AK43" s="235">
        <v>0</v>
      </c>
      <c r="AL43" s="235">
        <v>0</v>
      </c>
      <c r="AM43" s="235">
        <v>0</v>
      </c>
    </row>
    <row r="44" spans="1:39" ht="13.5" thickBot="1">
      <c r="A44" s="208"/>
      <c r="B44" s="208"/>
      <c r="C44" s="208"/>
      <c r="D44" s="208"/>
      <c r="E44" s="208"/>
      <c r="F44" s="208"/>
      <c r="G44" s="208"/>
      <c r="H44" s="203"/>
      <c r="I44" s="203"/>
      <c r="J44" s="223"/>
      <c r="K44" s="230">
        <v>5</v>
      </c>
      <c r="L44" s="231">
        <v>0.03</v>
      </c>
      <c r="M44" s="231">
        <v>0.03</v>
      </c>
      <c r="N44" s="231">
        <v>0.03</v>
      </c>
      <c r="O44" s="231">
        <v>0.03</v>
      </c>
      <c r="P44" s="231">
        <v>0.03</v>
      </c>
      <c r="Q44" s="231">
        <v>0.03</v>
      </c>
      <c r="R44" s="231">
        <v>0.03</v>
      </c>
      <c r="S44" s="231">
        <v>0.03</v>
      </c>
      <c r="T44" s="231">
        <v>0.03</v>
      </c>
      <c r="U44" s="231">
        <v>0.03</v>
      </c>
      <c r="V44" s="231">
        <v>0.03</v>
      </c>
      <c r="W44" s="231">
        <v>0.03</v>
      </c>
      <c r="X44" s="232">
        <f t="shared" si="0"/>
        <v>3.0000000000000009E-2</v>
      </c>
      <c r="Y44" s="233"/>
      <c r="Z44" s="202"/>
      <c r="AA44" s="234">
        <v>5</v>
      </c>
      <c r="AB44" s="235">
        <v>0</v>
      </c>
      <c r="AC44" s="235">
        <v>0</v>
      </c>
      <c r="AD44" s="235">
        <v>0</v>
      </c>
      <c r="AE44" s="235">
        <v>1.0889271916180827E-3</v>
      </c>
      <c r="AF44" s="235">
        <v>1.1628003357652171E-2</v>
      </c>
      <c r="AG44" s="235">
        <v>1.5755062884955571E-2</v>
      </c>
      <c r="AH44" s="235">
        <v>1.180160242165346E-2</v>
      </c>
      <c r="AI44" s="235">
        <v>2.2845182133862051E-3</v>
      </c>
      <c r="AJ44" s="235">
        <v>0</v>
      </c>
      <c r="AK44" s="235">
        <v>0</v>
      </c>
      <c r="AL44" s="235">
        <v>0</v>
      </c>
      <c r="AM44" s="235">
        <v>0</v>
      </c>
    </row>
    <row r="45" spans="1:39" ht="13.5" thickBot="1">
      <c r="A45" s="208"/>
      <c r="B45" s="208"/>
      <c r="C45" s="208"/>
      <c r="D45" s="208"/>
      <c r="E45" s="208"/>
      <c r="F45" s="208"/>
      <c r="G45" s="208"/>
      <c r="H45" s="203"/>
      <c r="I45" s="203"/>
      <c r="J45" s="223"/>
      <c r="K45" s="230">
        <v>6</v>
      </c>
      <c r="L45" s="231">
        <v>0.04</v>
      </c>
      <c r="M45" s="231">
        <v>0.04</v>
      </c>
      <c r="N45" s="231">
        <v>0.04</v>
      </c>
      <c r="O45" s="231">
        <v>0.04</v>
      </c>
      <c r="P45" s="231">
        <v>0.04</v>
      </c>
      <c r="Q45" s="231">
        <v>0.04</v>
      </c>
      <c r="R45" s="231">
        <v>0.04</v>
      </c>
      <c r="S45" s="231">
        <v>0.04</v>
      </c>
      <c r="T45" s="231">
        <v>0.04</v>
      </c>
      <c r="U45" s="231">
        <v>0.04</v>
      </c>
      <c r="V45" s="231">
        <v>0.04</v>
      </c>
      <c r="W45" s="231">
        <v>0.04</v>
      </c>
      <c r="X45" s="232">
        <f t="shared" si="0"/>
        <v>3.9999999999999994E-2</v>
      </c>
      <c r="Y45" s="233"/>
      <c r="Z45" s="202"/>
      <c r="AA45" s="234">
        <v>6</v>
      </c>
      <c r="AB45" s="235">
        <v>0</v>
      </c>
      <c r="AC45" s="235">
        <v>0</v>
      </c>
      <c r="AD45" s="235">
        <v>5.38271650628213E-3</v>
      </c>
      <c r="AE45" s="235">
        <v>2.277099523711594E-2</v>
      </c>
      <c r="AF45" s="235">
        <v>3.1402118769782071E-2</v>
      </c>
      <c r="AG45" s="235">
        <v>3.272476728900995E-2</v>
      </c>
      <c r="AH45" s="235">
        <v>2.8940836792315523E-2</v>
      </c>
      <c r="AI45" s="235">
        <v>1.4117287402092896E-2</v>
      </c>
      <c r="AJ45" s="235">
        <v>1.0317638634727422E-2</v>
      </c>
      <c r="AK45" s="235">
        <v>0</v>
      </c>
      <c r="AL45" s="235">
        <v>0</v>
      </c>
      <c r="AM45" s="235">
        <v>0</v>
      </c>
    </row>
    <row r="46" spans="1:39" ht="13.5" thickBot="1">
      <c r="A46" s="211"/>
      <c r="B46" s="208"/>
      <c r="C46" s="208"/>
      <c r="D46" s="208"/>
      <c r="E46" s="208"/>
      <c r="F46" s="208"/>
      <c r="G46" s="208"/>
      <c r="H46" s="203"/>
      <c r="I46" s="203"/>
      <c r="J46" s="223"/>
      <c r="K46" s="230">
        <v>7</v>
      </c>
      <c r="L46" s="231">
        <v>0.05</v>
      </c>
      <c r="M46" s="231">
        <v>0.05</v>
      </c>
      <c r="N46" s="231">
        <v>0.05</v>
      </c>
      <c r="O46" s="231">
        <v>0.05</v>
      </c>
      <c r="P46" s="231">
        <v>0.05</v>
      </c>
      <c r="Q46" s="231">
        <v>0.05</v>
      </c>
      <c r="R46" s="231">
        <v>0.05</v>
      </c>
      <c r="S46" s="231">
        <v>0.05</v>
      </c>
      <c r="T46" s="231">
        <v>0.05</v>
      </c>
      <c r="U46" s="231">
        <v>0.05</v>
      </c>
      <c r="V46" s="231">
        <v>0.05</v>
      </c>
      <c r="W46" s="231">
        <v>0.05</v>
      </c>
      <c r="X46" s="232">
        <f t="shared" si="0"/>
        <v>4.9999999999999996E-2</v>
      </c>
      <c r="Y46" s="233"/>
      <c r="Z46" s="202"/>
      <c r="AA46" s="234">
        <v>7</v>
      </c>
      <c r="AB46" s="235">
        <v>0</v>
      </c>
      <c r="AC46" s="235">
        <v>2.0135360717367608E-2</v>
      </c>
      <c r="AD46" s="235">
        <v>3.8852970057842932E-2</v>
      </c>
      <c r="AE46" s="235">
        <v>4.7289455728414406E-2</v>
      </c>
      <c r="AF46" s="235">
        <v>5.1225215605760398E-2</v>
      </c>
      <c r="AG46" s="235">
        <v>5.11768324679533E-2</v>
      </c>
      <c r="AH46" s="235">
        <v>4.9077220003132409E-2</v>
      </c>
      <c r="AI46" s="235">
        <v>1.9369778674794332E-2</v>
      </c>
      <c r="AJ46" s="235">
        <v>4.0840399527767794E-2</v>
      </c>
      <c r="AK46" s="235">
        <v>2.5734114011311635E-2</v>
      </c>
      <c r="AL46" s="235">
        <v>4.6185367583544091E-3</v>
      </c>
      <c r="AM46" s="235">
        <v>0</v>
      </c>
    </row>
    <row r="47" spans="1:39" ht="13.5" thickBot="1">
      <c r="A47" s="211"/>
      <c r="B47" s="208"/>
      <c r="C47" s="208"/>
      <c r="D47" s="208"/>
      <c r="E47" s="208"/>
      <c r="F47" s="208"/>
      <c r="G47" s="208"/>
      <c r="H47" s="203"/>
      <c r="I47" s="203"/>
      <c r="J47" s="223"/>
      <c r="K47" s="230">
        <v>8</v>
      </c>
      <c r="L47" s="231">
        <v>0.06</v>
      </c>
      <c r="M47" s="231">
        <v>0.06</v>
      </c>
      <c r="N47" s="231">
        <v>0.06</v>
      </c>
      <c r="O47" s="231">
        <v>0.06</v>
      </c>
      <c r="P47" s="231">
        <v>0.06</v>
      </c>
      <c r="Q47" s="231">
        <v>0.06</v>
      </c>
      <c r="R47" s="231">
        <v>0.06</v>
      </c>
      <c r="S47" s="231">
        <v>0.06</v>
      </c>
      <c r="T47" s="231">
        <v>0.06</v>
      </c>
      <c r="U47" s="231">
        <v>0.06</v>
      </c>
      <c r="V47" s="231">
        <v>0.06</v>
      </c>
      <c r="W47" s="231">
        <v>0.06</v>
      </c>
      <c r="X47" s="232">
        <f t="shared" si="0"/>
        <v>6.0000000000000019E-2</v>
      </c>
      <c r="Y47" s="233"/>
      <c r="Z47" s="202"/>
      <c r="AA47" s="234">
        <v>8</v>
      </c>
      <c r="AB47" s="235">
        <v>5.7779949483459478E-2</v>
      </c>
      <c r="AC47" s="235">
        <v>6.7604690418009497E-2</v>
      </c>
      <c r="AD47" s="235">
        <v>6.8017563302292292E-2</v>
      </c>
      <c r="AE47" s="235">
        <v>6.801794511079251E-2</v>
      </c>
      <c r="AF47" s="235">
        <v>6.702313541369706E-2</v>
      </c>
      <c r="AG47" s="235">
        <v>6.6113012840918126E-2</v>
      </c>
      <c r="AH47" s="235">
        <v>6.5812454662548245E-2</v>
      </c>
      <c r="AI47" s="235">
        <v>3.9091798013330535E-2</v>
      </c>
      <c r="AJ47" s="235">
        <v>6.7186112153424113E-2</v>
      </c>
      <c r="AK47" s="235">
        <v>6.5963468595002975E-2</v>
      </c>
      <c r="AL47" s="235">
        <v>6.0649751847015369E-2</v>
      </c>
      <c r="AM47" s="235">
        <v>4.708963435322782E-2</v>
      </c>
    </row>
    <row r="48" spans="1:39" ht="13.5" thickBot="1">
      <c r="A48" s="208"/>
      <c r="B48" s="208"/>
      <c r="C48" s="208"/>
      <c r="D48" s="208"/>
      <c r="E48" s="208"/>
      <c r="F48" s="208"/>
      <c r="G48" s="208"/>
      <c r="H48" s="203"/>
      <c r="I48" s="203"/>
      <c r="J48" s="223"/>
      <c r="K48" s="230">
        <v>9</v>
      </c>
      <c r="L48" s="231">
        <v>0.09</v>
      </c>
      <c r="M48" s="231">
        <v>0.09</v>
      </c>
      <c r="N48" s="231">
        <v>0.09</v>
      </c>
      <c r="O48" s="231">
        <v>0.09</v>
      </c>
      <c r="P48" s="231">
        <v>0.09</v>
      </c>
      <c r="Q48" s="231">
        <v>0.09</v>
      </c>
      <c r="R48" s="231">
        <v>0.09</v>
      </c>
      <c r="S48" s="231">
        <v>0.09</v>
      </c>
      <c r="T48" s="231">
        <v>0.09</v>
      </c>
      <c r="U48" s="231">
        <v>0.09</v>
      </c>
      <c r="V48" s="231">
        <v>0.09</v>
      </c>
      <c r="W48" s="231">
        <v>0.09</v>
      </c>
      <c r="X48" s="232">
        <f t="shared" si="0"/>
        <v>8.9999999999999983E-2</v>
      </c>
      <c r="Y48" s="233"/>
      <c r="Z48" s="202"/>
      <c r="AA48" s="234">
        <v>9</v>
      </c>
      <c r="AB48" s="235">
        <v>9.9261128448196054E-2</v>
      </c>
      <c r="AC48" s="235">
        <v>9.400291301315758E-2</v>
      </c>
      <c r="AD48" s="235">
        <v>8.81922604471303E-2</v>
      </c>
      <c r="AE48" s="235">
        <v>8.3686759225103352E-2</v>
      </c>
      <c r="AF48" s="235">
        <v>8.0005042034847901E-2</v>
      </c>
      <c r="AG48" s="235">
        <v>7.8794186563502275E-2</v>
      </c>
      <c r="AH48" s="235">
        <v>7.9942141410487957E-2</v>
      </c>
      <c r="AI48" s="235">
        <v>6.2101240745129453E-2</v>
      </c>
      <c r="AJ48" s="235">
        <v>8.6412584233667489E-2</v>
      </c>
      <c r="AK48" s="235">
        <v>9.1285289862559293E-2</v>
      </c>
      <c r="AL48" s="235">
        <v>9.71396837526151E-2</v>
      </c>
      <c r="AM48" s="235">
        <v>0.10059047341641328</v>
      </c>
    </row>
    <row r="49" spans="1:39" ht="13.5" thickBot="1">
      <c r="A49" s="208"/>
      <c r="B49" s="208"/>
      <c r="C49" s="208"/>
      <c r="D49" s="208"/>
      <c r="E49" s="208"/>
      <c r="F49" s="208"/>
      <c r="G49" s="208"/>
      <c r="H49" s="203"/>
      <c r="I49" s="203"/>
      <c r="J49" s="223"/>
      <c r="K49" s="230">
        <v>10</v>
      </c>
      <c r="L49" s="231">
        <v>0.04</v>
      </c>
      <c r="M49" s="231">
        <v>0.04</v>
      </c>
      <c r="N49" s="231">
        <v>0.04</v>
      </c>
      <c r="O49" s="231">
        <v>0.04</v>
      </c>
      <c r="P49" s="231">
        <v>0.04</v>
      </c>
      <c r="Q49" s="231">
        <v>0.04</v>
      </c>
      <c r="R49" s="231">
        <v>0.04</v>
      </c>
      <c r="S49" s="231">
        <v>0.04</v>
      </c>
      <c r="T49" s="231">
        <v>0.04</v>
      </c>
      <c r="U49" s="231">
        <v>0.04</v>
      </c>
      <c r="V49" s="231">
        <v>0.04</v>
      </c>
      <c r="W49" s="231">
        <v>0.04</v>
      </c>
      <c r="X49" s="232">
        <f t="shared" si="0"/>
        <v>3.9999999999999994E-2</v>
      </c>
      <c r="Y49" s="233"/>
      <c r="Z49" s="202"/>
      <c r="AA49" s="234">
        <v>10</v>
      </c>
      <c r="AB49" s="235">
        <v>0.12004483402847022</v>
      </c>
      <c r="AC49" s="235">
        <v>0.11111504769515267</v>
      </c>
      <c r="AD49" s="235">
        <v>0.10355768142705191</v>
      </c>
      <c r="AE49" s="235">
        <v>9.6187001056970978E-2</v>
      </c>
      <c r="AF49" s="235">
        <v>9.0367404229739254E-2</v>
      </c>
      <c r="AG49" s="235">
        <v>8.8916499025345208E-2</v>
      </c>
      <c r="AH49" s="235">
        <v>9.1220679768170956E-2</v>
      </c>
      <c r="AI49" s="235">
        <v>8.2654685343168E-2</v>
      </c>
      <c r="AJ49" s="235">
        <v>0.10147400147187124</v>
      </c>
      <c r="AK49" s="235">
        <v>0.10921494759653663</v>
      </c>
      <c r="AL49" s="235">
        <v>0.11744633655626503</v>
      </c>
      <c r="AM49" s="235">
        <v>0.12332741773962129</v>
      </c>
    </row>
    <row r="50" spans="1:39" ht="13.5" thickBot="1">
      <c r="A50" s="211"/>
      <c r="B50" s="208"/>
      <c r="C50" s="208"/>
      <c r="D50" s="208"/>
      <c r="E50" s="208"/>
      <c r="F50" s="208"/>
      <c r="G50" s="208"/>
      <c r="H50" s="203"/>
      <c r="I50" s="203"/>
      <c r="J50" s="223"/>
      <c r="K50" s="230">
        <v>11</v>
      </c>
      <c r="L50" s="231">
        <v>0.03</v>
      </c>
      <c r="M50" s="231">
        <v>0.03</v>
      </c>
      <c r="N50" s="231">
        <v>0.03</v>
      </c>
      <c r="O50" s="231">
        <v>0.03</v>
      </c>
      <c r="P50" s="231">
        <v>0.03</v>
      </c>
      <c r="Q50" s="231">
        <v>0.03</v>
      </c>
      <c r="R50" s="231">
        <v>0.03</v>
      </c>
      <c r="S50" s="231">
        <v>0.03</v>
      </c>
      <c r="T50" s="231">
        <v>0.03</v>
      </c>
      <c r="U50" s="231">
        <v>0.03</v>
      </c>
      <c r="V50" s="231">
        <v>0.03</v>
      </c>
      <c r="W50" s="231">
        <v>0.03</v>
      </c>
      <c r="X50" s="232">
        <f t="shared" si="0"/>
        <v>3.0000000000000009E-2</v>
      </c>
      <c r="Y50" s="233"/>
      <c r="Z50" s="202"/>
      <c r="AA50" s="234">
        <v>11</v>
      </c>
      <c r="AB50" s="235">
        <v>0.13368404120104996</v>
      </c>
      <c r="AC50" s="235">
        <v>0.12273517132895326</v>
      </c>
      <c r="AD50" s="235">
        <v>0.11399168599691695</v>
      </c>
      <c r="AE50" s="235">
        <v>0.10467538419782721</v>
      </c>
      <c r="AF50" s="235">
        <v>9.7404044139402457E-2</v>
      </c>
      <c r="AG50" s="235">
        <v>9.5790131360084491E-2</v>
      </c>
      <c r="AH50" s="235">
        <v>9.8879455985186965E-2</v>
      </c>
      <c r="AI50" s="235">
        <v>9.9351448524262961E-2</v>
      </c>
      <c r="AJ50" s="235">
        <v>0.11170157001668464</v>
      </c>
      <c r="AK50" s="235">
        <v>0.12139021640153035</v>
      </c>
      <c r="AL50" s="235">
        <v>0.13103152982712432</v>
      </c>
      <c r="AM50" s="235">
        <v>0.13780463941042367</v>
      </c>
    </row>
    <row r="51" spans="1:39" ht="13.5" thickBot="1">
      <c r="A51" s="208"/>
      <c r="B51" s="208"/>
      <c r="C51" s="208"/>
      <c r="D51" s="208"/>
      <c r="E51" s="208"/>
      <c r="F51" s="208"/>
      <c r="G51" s="208"/>
      <c r="H51" s="203"/>
      <c r="I51" s="203"/>
      <c r="J51" s="223"/>
      <c r="K51" s="230">
        <v>12</v>
      </c>
      <c r="L51" s="231">
        <v>0.03</v>
      </c>
      <c r="M51" s="231">
        <v>0.03</v>
      </c>
      <c r="N51" s="231">
        <v>0.03</v>
      </c>
      <c r="O51" s="231">
        <v>0.03</v>
      </c>
      <c r="P51" s="231">
        <v>0.03</v>
      </c>
      <c r="Q51" s="231">
        <v>0.03</v>
      </c>
      <c r="R51" s="231">
        <v>0.03</v>
      </c>
      <c r="S51" s="231">
        <v>0.03</v>
      </c>
      <c r="T51" s="231">
        <v>0.03</v>
      </c>
      <c r="U51" s="231">
        <v>0.03</v>
      </c>
      <c r="V51" s="231">
        <v>0.03</v>
      </c>
      <c r="W51" s="231">
        <v>0.03</v>
      </c>
      <c r="X51" s="232">
        <f t="shared" si="0"/>
        <v>3.0000000000000009E-2</v>
      </c>
      <c r="Y51" s="233"/>
      <c r="Z51" s="202"/>
      <c r="AA51" s="234">
        <v>12</v>
      </c>
      <c r="AB51" s="235">
        <v>0.1399474698309735</v>
      </c>
      <c r="AC51" s="235">
        <v>0.1280713916920781</v>
      </c>
      <c r="AD51" s="235">
        <v>0.11878321398829694</v>
      </c>
      <c r="AE51" s="235">
        <v>0.10857343936433902</v>
      </c>
      <c r="AF51" s="235">
        <v>0.10063542638259128</v>
      </c>
      <c r="AG51" s="235">
        <v>9.8946656883322215E-2</v>
      </c>
      <c r="AH51" s="235">
        <v>0.10239653711907247</v>
      </c>
      <c r="AI51" s="235">
        <v>0.11105367347032853</v>
      </c>
      <c r="AJ51" s="235">
        <v>0.11639829797363478</v>
      </c>
      <c r="AK51" s="235">
        <v>0.12698137182906316</v>
      </c>
      <c r="AL51" s="235">
        <v>0.13727015406672166</v>
      </c>
      <c r="AM51" s="235">
        <v>0.14445290301895305</v>
      </c>
    </row>
    <row r="52" spans="1:39" ht="13.5" thickBot="1">
      <c r="A52" s="208"/>
      <c r="B52" s="208"/>
      <c r="C52" s="208"/>
      <c r="D52" s="208"/>
      <c r="E52" s="208"/>
      <c r="F52" s="208"/>
      <c r="G52" s="208"/>
      <c r="H52" s="203"/>
      <c r="I52" s="203"/>
      <c r="J52" s="223"/>
      <c r="K52" s="230">
        <v>13</v>
      </c>
      <c r="L52" s="231">
        <v>0.03</v>
      </c>
      <c r="M52" s="231">
        <v>0.03</v>
      </c>
      <c r="N52" s="231">
        <v>0.03</v>
      </c>
      <c r="O52" s="231">
        <v>0.03</v>
      </c>
      <c r="P52" s="231">
        <v>0.03</v>
      </c>
      <c r="Q52" s="231">
        <v>0.03</v>
      </c>
      <c r="R52" s="231">
        <v>0.03</v>
      </c>
      <c r="S52" s="231">
        <v>0.03</v>
      </c>
      <c r="T52" s="231">
        <v>0.03</v>
      </c>
      <c r="U52" s="231">
        <v>0.03</v>
      </c>
      <c r="V52" s="231">
        <v>0.03</v>
      </c>
      <c r="W52" s="231">
        <v>0.03</v>
      </c>
      <c r="X52" s="232">
        <f t="shared" si="0"/>
        <v>3.0000000000000009E-2</v>
      </c>
      <c r="Y52" s="233"/>
      <c r="Z52" s="202"/>
      <c r="AA52" s="234">
        <v>13</v>
      </c>
      <c r="AB52" s="235">
        <v>0.13840827760791696</v>
      </c>
      <c r="AC52" s="235">
        <v>0.12676005418530137</v>
      </c>
      <c r="AD52" s="235">
        <v>0.11760573068695374</v>
      </c>
      <c r="AE52" s="235">
        <v>0.10761552053874944</v>
      </c>
      <c r="AF52" s="235">
        <v>9.9841337599544014E-2</v>
      </c>
      <c r="AG52" s="235">
        <v>9.8170963597054753E-2</v>
      </c>
      <c r="AH52" s="235">
        <v>0.10153223990280456</v>
      </c>
      <c r="AI52" s="235">
        <v>0.11696387289013142</v>
      </c>
      <c r="AJ52" s="235">
        <v>0.11524411109416552</v>
      </c>
      <c r="AK52" s="235">
        <v>0.12560738587656989</v>
      </c>
      <c r="AL52" s="235">
        <v>0.1357370573429425</v>
      </c>
      <c r="AM52" s="235">
        <v>0.14281914038706314</v>
      </c>
    </row>
    <row r="53" spans="1:39" ht="13.5" thickBot="1">
      <c r="A53" s="208"/>
      <c r="B53" s="208"/>
      <c r="C53" s="208"/>
      <c r="D53" s="208"/>
      <c r="E53" s="208"/>
      <c r="F53" s="208"/>
      <c r="G53" s="208"/>
      <c r="H53" s="203"/>
      <c r="I53" s="203"/>
      <c r="J53" s="223"/>
      <c r="K53" s="230">
        <v>14</v>
      </c>
      <c r="L53" s="231">
        <v>0.03</v>
      </c>
      <c r="M53" s="231">
        <v>0.03</v>
      </c>
      <c r="N53" s="231">
        <v>0.03</v>
      </c>
      <c r="O53" s="231">
        <v>0.03</v>
      </c>
      <c r="P53" s="231">
        <v>0.03</v>
      </c>
      <c r="Q53" s="231">
        <v>0.03</v>
      </c>
      <c r="R53" s="231">
        <v>0.03</v>
      </c>
      <c r="S53" s="231">
        <v>0.03</v>
      </c>
      <c r="T53" s="231">
        <v>0.03</v>
      </c>
      <c r="U53" s="231">
        <v>0.03</v>
      </c>
      <c r="V53" s="231">
        <v>0.03</v>
      </c>
      <c r="W53" s="231">
        <v>0.03</v>
      </c>
      <c r="X53" s="232">
        <f t="shared" si="0"/>
        <v>3.0000000000000009E-2</v>
      </c>
      <c r="Y53" s="233"/>
      <c r="Z53" s="202"/>
      <c r="AA53" s="234">
        <v>14</v>
      </c>
      <c r="AB53" s="235">
        <v>0.12917135793824605</v>
      </c>
      <c r="AC53" s="235">
        <v>0.11889052429262222</v>
      </c>
      <c r="AD53" s="235">
        <v>0.11053947963399072</v>
      </c>
      <c r="AE53" s="235">
        <v>0.10186690830598667</v>
      </c>
      <c r="AF53" s="235">
        <v>9.5075893628531596E-2</v>
      </c>
      <c r="AG53" s="235">
        <v>9.3515913716847476E-2</v>
      </c>
      <c r="AH53" s="235">
        <v>9.6345464763353247E-2</v>
      </c>
      <c r="AI53" s="235">
        <v>0.11667927646027849</v>
      </c>
      <c r="AJ53" s="235">
        <v>0.10831766530672859</v>
      </c>
      <c r="AK53" s="235">
        <v>0.11736189341609386</v>
      </c>
      <c r="AL53" s="235">
        <v>0.12653671766395022</v>
      </c>
      <c r="AM53" s="235">
        <v>0.13301468973819691</v>
      </c>
    </row>
    <row r="54" spans="1:39" ht="13.5" thickBot="1">
      <c r="A54" s="211"/>
      <c r="B54" s="211"/>
      <c r="C54" s="211"/>
      <c r="D54" s="238"/>
      <c r="E54" s="238"/>
      <c r="F54" s="211"/>
      <c r="G54" s="211"/>
      <c r="H54" s="203"/>
      <c r="I54" s="203"/>
      <c r="J54" s="223"/>
      <c r="K54" s="230">
        <v>15</v>
      </c>
      <c r="L54" s="231">
        <v>0.03</v>
      </c>
      <c r="M54" s="231">
        <v>0.03</v>
      </c>
      <c r="N54" s="231">
        <v>0.03</v>
      </c>
      <c r="O54" s="231">
        <v>0.03</v>
      </c>
      <c r="P54" s="231">
        <v>0.03</v>
      </c>
      <c r="Q54" s="231">
        <v>0.03</v>
      </c>
      <c r="R54" s="231">
        <v>0.03</v>
      </c>
      <c r="S54" s="231">
        <v>0.03</v>
      </c>
      <c r="T54" s="231">
        <v>0.03</v>
      </c>
      <c r="U54" s="231">
        <v>0.03</v>
      </c>
      <c r="V54" s="231">
        <v>0.03</v>
      </c>
      <c r="W54" s="231">
        <v>0.03</v>
      </c>
      <c r="X54" s="232">
        <f t="shared" si="0"/>
        <v>3.0000000000000009E-2</v>
      </c>
      <c r="Y54" s="233"/>
      <c r="Z54" s="202"/>
      <c r="AA54" s="234">
        <v>15</v>
      </c>
      <c r="AB54" s="235">
        <v>0.11205999447662664</v>
      </c>
      <c r="AC54" s="235">
        <v>0.10499909747121364</v>
      </c>
      <c r="AD54" s="235">
        <v>9.8066014161135279E-2</v>
      </c>
      <c r="AE54" s="235">
        <v>9.1719361089682594E-2</v>
      </c>
      <c r="AF54" s="235">
        <v>8.6663851600909975E-2</v>
      </c>
      <c r="AG54" s="235">
        <v>8.5298741199202888E-2</v>
      </c>
      <c r="AH54" s="235">
        <v>8.7189681854920889E-2</v>
      </c>
      <c r="AI54" s="235">
        <v>0.11021927895714623</v>
      </c>
      <c r="AJ54" s="235">
        <v>9.6090986445245011E-2</v>
      </c>
      <c r="AK54" s="235">
        <v>0.10280681113249589</v>
      </c>
      <c r="AL54" s="235">
        <v>0.10994707250804509</v>
      </c>
      <c r="AM54" s="235">
        <v>0.11406415018026404</v>
      </c>
    </row>
    <row r="55" spans="1:39" ht="13.5" thickBot="1">
      <c r="A55" s="211"/>
      <c r="B55" s="211"/>
      <c r="C55" s="211"/>
      <c r="D55" s="238"/>
      <c r="E55" s="238"/>
      <c r="F55" s="211"/>
      <c r="G55" s="211"/>
      <c r="H55" s="203"/>
      <c r="I55" s="203"/>
      <c r="J55" s="223"/>
      <c r="K55" s="230">
        <v>16</v>
      </c>
      <c r="L55" s="231">
        <v>0.03</v>
      </c>
      <c r="M55" s="231">
        <v>0.03</v>
      </c>
      <c r="N55" s="231">
        <v>0.03</v>
      </c>
      <c r="O55" s="231">
        <v>0.03</v>
      </c>
      <c r="P55" s="231">
        <v>0.03</v>
      </c>
      <c r="Q55" s="231">
        <v>0.03</v>
      </c>
      <c r="R55" s="231">
        <v>0.03</v>
      </c>
      <c r="S55" s="231">
        <v>0.03</v>
      </c>
      <c r="T55" s="231">
        <v>0.03</v>
      </c>
      <c r="U55" s="231">
        <v>0.03</v>
      </c>
      <c r="V55" s="231">
        <v>0.03</v>
      </c>
      <c r="W55" s="231">
        <v>0.03</v>
      </c>
      <c r="X55" s="232">
        <f t="shared" si="0"/>
        <v>3.0000000000000009E-2</v>
      </c>
      <c r="Y55" s="233"/>
      <c r="Z55" s="202"/>
      <c r="AA55" s="234">
        <v>16</v>
      </c>
      <c r="AB55" s="235">
        <v>6.9642946985061169E-2</v>
      </c>
      <c r="AC55" s="235">
        <v>8.005497144130326E-2</v>
      </c>
      <c r="AD55" s="235">
        <v>7.992255313809693E-2</v>
      </c>
      <c r="AE55" s="235">
        <v>7.7854372824524093E-2</v>
      </c>
      <c r="AF55" s="235">
        <v>7.5178478279304878E-2</v>
      </c>
      <c r="AG55" s="235">
        <v>7.4079432771678777E-2</v>
      </c>
      <c r="AH55" s="235">
        <v>7.4688842652070542E-2</v>
      </c>
      <c r="AI55" s="235">
        <v>9.80241185349226E-2</v>
      </c>
      <c r="AJ55" s="235">
        <v>7.8965465203227392E-2</v>
      </c>
      <c r="AK55" s="235">
        <v>7.940989496709977E-2</v>
      </c>
      <c r="AL55" s="235">
        <v>7.3593371518620374E-2</v>
      </c>
      <c r="AM55" s="235">
        <v>5.683695175583682E-2</v>
      </c>
    </row>
    <row r="56" spans="1:39" ht="13.5" thickBot="1">
      <c r="A56" s="211"/>
      <c r="B56" s="211"/>
      <c r="C56" s="211"/>
      <c r="D56" s="238"/>
      <c r="E56" s="238"/>
      <c r="F56" s="211"/>
      <c r="G56" s="211"/>
      <c r="H56" s="203"/>
      <c r="I56" s="203"/>
      <c r="J56" s="223"/>
      <c r="K56" s="230">
        <v>17</v>
      </c>
      <c r="L56" s="231">
        <v>0.04</v>
      </c>
      <c r="M56" s="231">
        <v>0.04</v>
      </c>
      <c r="N56" s="231">
        <v>0.04</v>
      </c>
      <c r="O56" s="231">
        <v>0.04</v>
      </c>
      <c r="P56" s="231">
        <v>0.04</v>
      </c>
      <c r="Q56" s="231">
        <v>0.04</v>
      </c>
      <c r="R56" s="231">
        <v>0.04</v>
      </c>
      <c r="S56" s="231">
        <v>0.04</v>
      </c>
      <c r="T56" s="231">
        <v>0.04</v>
      </c>
      <c r="U56" s="231">
        <v>0.04</v>
      </c>
      <c r="V56" s="231">
        <v>0.04</v>
      </c>
      <c r="W56" s="231">
        <v>0.04</v>
      </c>
      <c r="X56" s="232">
        <f t="shared" si="0"/>
        <v>3.9999999999999994E-2</v>
      </c>
      <c r="Y56" s="233"/>
      <c r="Z56" s="202"/>
      <c r="AA56" s="234">
        <v>17</v>
      </c>
      <c r="AB56" s="235">
        <v>0</v>
      </c>
      <c r="AC56" s="235">
        <v>2.5630777744840617E-2</v>
      </c>
      <c r="AD56" s="235">
        <v>4.9789224075984073E-2</v>
      </c>
      <c r="AE56" s="235">
        <v>5.7549716192580772E-2</v>
      </c>
      <c r="AF56" s="235">
        <v>6.0114515473963639E-2</v>
      </c>
      <c r="AG56" s="235">
        <v>5.9954632522703666E-2</v>
      </c>
      <c r="AH56" s="235">
        <v>5.8816888960456816E-2</v>
      </c>
      <c r="AI56" s="235">
        <v>7.725850968393079E-2</v>
      </c>
      <c r="AJ56" s="235">
        <v>5.2414325288773246E-2</v>
      </c>
      <c r="AK56" s="235">
        <v>3.4244606311736349E-2</v>
      </c>
      <c r="AL56" s="235">
        <v>6.0297881583459556E-3</v>
      </c>
      <c r="AM56" s="235">
        <v>0</v>
      </c>
    </row>
    <row r="57" spans="1:39" ht="13.5" thickBot="1">
      <c r="A57" s="211"/>
      <c r="B57" s="211"/>
      <c r="C57" s="211"/>
      <c r="D57" s="238"/>
      <c r="E57" s="238"/>
      <c r="F57" s="211"/>
      <c r="G57" s="211"/>
      <c r="H57" s="203"/>
      <c r="I57" s="203"/>
      <c r="J57" s="223"/>
      <c r="K57" s="230">
        <v>18</v>
      </c>
      <c r="L57" s="231">
        <v>0.06</v>
      </c>
      <c r="M57" s="231">
        <v>0.06</v>
      </c>
      <c r="N57" s="231">
        <v>0.06</v>
      </c>
      <c r="O57" s="231">
        <v>0.06</v>
      </c>
      <c r="P57" s="231">
        <v>0.06</v>
      </c>
      <c r="Q57" s="231">
        <v>0.06</v>
      </c>
      <c r="R57" s="231">
        <v>0.06</v>
      </c>
      <c r="S57" s="231">
        <v>0.06</v>
      </c>
      <c r="T57" s="231">
        <v>0.06</v>
      </c>
      <c r="U57" s="231">
        <v>0.06</v>
      </c>
      <c r="V57" s="231">
        <v>0.06</v>
      </c>
      <c r="W57" s="231">
        <v>0.06</v>
      </c>
      <c r="X57" s="232">
        <f t="shared" si="0"/>
        <v>6.0000000000000019E-2</v>
      </c>
      <c r="Y57" s="233"/>
      <c r="Z57" s="202"/>
      <c r="AA57" s="234">
        <v>18</v>
      </c>
      <c r="AB57" s="235">
        <v>0</v>
      </c>
      <c r="AC57" s="235">
        <v>0</v>
      </c>
      <c r="AD57" s="235">
        <v>7.2989065780258598E-3</v>
      </c>
      <c r="AE57" s="235">
        <v>2.9910621036196648E-2</v>
      </c>
      <c r="AF57" s="235">
        <v>3.936144603609696E-2</v>
      </c>
      <c r="AG57" s="235">
        <v>4.0892474237539833E-2</v>
      </c>
      <c r="AH57" s="235">
        <v>3.7862644781547591E-2</v>
      </c>
      <c r="AI57" s="235">
        <v>4.5368136862920135E-2</v>
      </c>
      <c r="AJ57" s="235">
        <v>1.463684265008283E-2</v>
      </c>
      <c r="AK57" s="235">
        <v>0</v>
      </c>
      <c r="AL57" s="235">
        <v>0</v>
      </c>
      <c r="AM57" s="235">
        <v>0</v>
      </c>
    </row>
    <row r="58" spans="1:39" ht="13.5" thickBot="1">
      <c r="A58" s="211"/>
      <c r="B58" s="211"/>
      <c r="C58" s="211"/>
      <c r="D58" s="238"/>
      <c r="E58" s="238"/>
      <c r="F58" s="211"/>
      <c r="G58" s="211"/>
      <c r="H58" s="203"/>
      <c r="I58" s="203"/>
      <c r="J58" s="223"/>
      <c r="K58" s="230">
        <v>19</v>
      </c>
      <c r="L58" s="231">
        <v>0.09</v>
      </c>
      <c r="M58" s="231">
        <v>0.09</v>
      </c>
      <c r="N58" s="231">
        <v>0.09</v>
      </c>
      <c r="O58" s="231">
        <v>0.09</v>
      </c>
      <c r="P58" s="231">
        <v>0.09</v>
      </c>
      <c r="Q58" s="231">
        <v>0.09</v>
      </c>
      <c r="R58" s="231">
        <v>0.09</v>
      </c>
      <c r="S58" s="231">
        <v>0.09</v>
      </c>
      <c r="T58" s="231">
        <v>0.09</v>
      </c>
      <c r="U58" s="231">
        <v>0.09</v>
      </c>
      <c r="V58" s="231">
        <v>0.09</v>
      </c>
      <c r="W58" s="231">
        <v>0.09</v>
      </c>
      <c r="X58" s="232">
        <f t="shared" si="0"/>
        <v>8.9999999999999983E-2</v>
      </c>
      <c r="Y58" s="233"/>
      <c r="Z58" s="202"/>
      <c r="AA58" s="234">
        <v>19</v>
      </c>
      <c r="AB58" s="235">
        <v>0</v>
      </c>
      <c r="AC58" s="235">
        <v>0</v>
      </c>
      <c r="AD58" s="235">
        <v>0</v>
      </c>
      <c r="AE58" s="235">
        <v>1.1935929000981315E-3</v>
      </c>
      <c r="AF58" s="235">
        <v>1.4074087448176276E-2</v>
      </c>
      <c r="AG58" s="235">
        <v>1.9870692639881574E-2</v>
      </c>
      <c r="AH58" s="235">
        <v>1.5493308922278421E-2</v>
      </c>
      <c r="AI58" s="235">
        <v>5.4623762241774471E-3</v>
      </c>
      <c r="AJ58" s="235">
        <v>0</v>
      </c>
      <c r="AK58" s="235">
        <v>0</v>
      </c>
      <c r="AL58" s="235">
        <v>0</v>
      </c>
      <c r="AM58" s="235">
        <v>0</v>
      </c>
    </row>
    <row r="59" spans="1:39" ht="13.5" thickBot="1">
      <c r="A59" s="211"/>
      <c r="B59" s="211"/>
      <c r="C59" s="211"/>
      <c r="D59" s="238"/>
      <c r="E59" s="238"/>
      <c r="F59" s="211"/>
      <c r="G59" s="211"/>
      <c r="H59" s="203"/>
      <c r="I59" s="203"/>
      <c r="J59" s="223"/>
      <c r="K59" s="230">
        <v>20</v>
      </c>
      <c r="L59" s="231">
        <v>0.09</v>
      </c>
      <c r="M59" s="231">
        <v>0.09</v>
      </c>
      <c r="N59" s="231">
        <v>0.09</v>
      </c>
      <c r="O59" s="231">
        <v>0.09</v>
      </c>
      <c r="P59" s="231">
        <v>0.09</v>
      </c>
      <c r="Q59" s="231">
        <v>0.09</v>
      </c>
      <c r="R59" s="231">
        <v>0.09</v>
      </c>
      <c r="S59" s="231">
        <v>0.09</v>
      </c>
      <c r="T59" s="231">
        <v>0.09</v>
      </c>
      <c r="U59" s="231">
        <v>0.09</v>
      </c>
      <c r="V59" s="231">
        <v>0.09</v>
      </c>
      <c r="W59" s="231">
        <v>0.09</v>
      </c>
      <c r="X59" s="232">
        <f t="shared" si="0"/>
        <v>8.9999999999999983E-2</v>
      </c>
      <c r="Y59" s="233"/>
      <c r="Z59" s="202"/>
      <c r="AA59" s="234">
        <v>20</v>
      </c>
      <c r="AB59" s="235">
        <v>0</v>
      </c>
      <c r="AC59" s="235">
        <v>0</v>
      </c>
      <c r="AD59" s="235">
        <v>0</v>
      </c>
      <c r="AE59" s="235">
        <v>0</v>
      </c>
      <c r="AF59" s="235">
        <v>0</v>
      </c>
      <c r="AG59" s="235">
        <v>0</v>
      </c>
      <c r="AH59" s="235">
        <v>0</v>
      </c>
      <c r="AI59" s="235">
        <v>0</v>
      </c>
      <c r="AJ59" s="235">
        <v>0</v>
      </c>
      <c r="AK59" s="235">
        <v>0</v>
      </c>
      <c r="AL59" s="235">
        <v>0</v>
      </c>
      <c r="AM59" s="235">
        <v>0</v>
      </c>
    </row>
    <row r="60" spans="1:39" ht="13.5" thickBot="1">
      <c r="A60" s="211"/>
      <c r="B60" s="211"/>
      <c r="C60" s="211"/>
      <c r="D60" s="238"/>
      <c r="E60" s="238"/>
      <c r="F60" s="211"/>
      <c r="G60" s="211"/>
      <c r="H60" s="203"/>
      <c r="I60" s="203"/>
      <c r="J60" s="223"/>
      <c r="K60" s="230">
        <v>21</v>
      </c>
      <c r="L60" s="231">
        <v>0.05</v>
      </c>
      <c r="M60" s="231">
        <v>0.05</v>
      </c>
      <c r="N60" s="231">
        <v>0.05</v>
      </c>
      <c r="O60" s="231">
        <v>0.05</v>
      </c>
      <c r="P60" s="231">
        <v>0.05</v>
      </c>
      <c r="Q60" s="231">
        <v>0.05</v>
      </c>
      <c r="R60" s="231">
        <v>0.05</v>
      </c>
      <c r="S60" s="231">
        <v>0.05</v>
      </c>
      <c r="T60" s="231">
        <v>0.05</v>
      </c>
      <c r="U60" s="231">
        <v>0.05</v>
      </c>
      <c r="V60" s="231">
        <v>0.05</v>
      </c>
      <c r="W60" s="231">
        <v>0.05</v>
      </c>
      <c r="X60" s="232">
        <f t="shared" si="0"/>
        <v>4.9999999999999996E-2</v>
      </c>
      <c r="Y60" s="233"/>
      <c r="Z60" s="202"/>
      <c r="AA60" s="234">
        <v>21</v>
      </c>
      <c r="AB60" s="235">
        <v>0</v>
      </c>
      <c r="AC60" s="235">
        <v>0</v>
      </c>
      <c r="AD60" s="235">
        <v>0</v>
      </c>
      <c r="AE60" s="235">
        <v>0</v>
      </c>
      <c r="AF60" s="235">
        <v>0</v>
      </c>
      <c r="AG60" s="235">
        <v>0</v>
      </c>
      <c r="AH60" s="235">
        <v>0</v>
      </c>
      <c r="AI60" s="235">
        <v>0</v>
      </c>
      <c r="AJ60" s="235">
        <v>0</v>
      </c>
      <c r="AK60" s="235">
        <v>0</v>
      </c>
      <c r="AL60" s="235">
        <v>0</v>
      </c>
      <c r="AM60" s="235">
        <v>0</v>
      </c>
    </row>
    <row r="61" spans="1:39" ht="13.5" thickBot="1">
      <c r="A61" s="211"/>
      <c r="B61" s="211"/>
      <c r="C61" s="211"/>
      <c r="D61" s="238"/>
      <c r="E61" s="238"/>
      <c r="F61" s="211"/>
      <c r="G61" s="211"/>
      <c r="H61" s="203"/>
      <c r="I61" s="203"/>
      <c r="J61" s="223"/>
      <c r="K61" s="230">
        <v>22</v>
      </c>
      <c r="L61" s="231">
        <v>0.04</v>
      </c>
      <c r="M61" s="231">
        <v>0.04</v>
      </c>
      <c r="N61" s="231">
        <v>0.04</v>
      </c>
      <c r="O61" s="231">
        <v>0.04</v>
      </c>
      <c r="P61" s="231">
        <v>0.04</v>
      </c>
      <c r="Q61" s="231">
        <v>0.04</v>
      </c>
      <c r="R61" s="231">
        <v>0.04</v>
      </c>
      <c r="S61" s="231">
        <v>0.04</v>
      </c>
      <c r="T61" s="231">
        <v>0.04</v>
      </c>
      <c r="U61" s="231">
        <v>0.04</v>
      </c>
      <c r="V61" s="231">
        <v>0.04</v>
      </c>
      <c r="W61" s="231">
        <v>0.04</v>
      </c>
      <c r="X61" s="232">
        <f t="shared" si="0"/>
        <v>3.9999999999999994E-2</v>
      </c>
      <c r="Y61" s="233"/>
      <c r="Z61" s="202"/>
      <c r="AA61" s="234">
        <v>22</v>
      </c>
      <c r="AB61" s="235">
        <v>0</v>
      </c>
      <c r="AC61" s="235">
        <v>0</v>
      </c>
      <c r="AD61" s="235">
        <v>0</v>
      </c>
      <c r="AE61" s="235">
        <v>0</v>
      </c>
      <c r="AF61" s="235">
        <v>0</v>
      </c>
      <c r="AG61" s="235">
        <v>0</v>
      </c>
      <c r="AH61" s="235">
        <v>0</v>
      </c>
      <c r="AI61" s="235">
        <v>0</v>
      </c>
      <c r="AJ61" s="235">
        <v>0</v>
      </c>
      <c r="AK61" s="235">
        <v>0</v>
      </c>
      <c r="AL61" s="235">
        <v>0</v>
      </c>
      <c r="AM61" s="235">
        <v>0</v>
      </c>
    </row>
    <row r="62" spans="1:39" ht="13.5" thickBot="1">
      <c r="A62" s="211"/>
      <c r="B62" s="211"/>
      <c r="C62" s="211"/>
      <c r="D62" s="238"/>
      <c r="E62" s="238"/>
      <c r="F62" s="211"/>
      <c r="G62" s="211"/>
      <c r="H62" s="203"/>
      <c r="I62" s="203"/>
      <c r="J62" s="223"/>
      <c r="K62" s="239">
        <v>23</v>
      </c>
      <c r="L62" s="231">
        <v>0.03</v>
      </c>
      <c r="M62" s="231">
        <v>0.03</v>
      </c>
      <c r="N62" s="231">
        <v>0.03</v>
      </c>
      <c r="O62" s="231">
        <v>0.03</v>
      </c>
      <c r="P62" s="231">
        <v>0.03</v>
      </c>
      <c r="Q62" s="231">
        <v>0.03</v>
      </c>
      <c r="R62" s="231">
        <v>0.03</v>
      </c>
      <c r="S62" s="231">
        <v>0.03</v>
      </c>
      <c r="T62" s="231">
        <v>0.03</v>
      </c>
      <c r="U62" s="231">
        <v>0.03</v>
      </c>
      <c r="V62" s="231">
        <v>0.03</v>
      </c>
      <c r="W62" s="231">
        <v>0.03</v>
      </c>
      <c r="X62" s="232">
        <f t="shared" si="0"/>
        <v>3.0000000000000009E-2</v>
      </c>
      <c r="Y62" s="233"/>
      <c r="Z62" s="202"/>
      <c r="AA62" s="234">
        <v>23</v>
      </c>
      <c r="AB62" s="235">
        <v>0</v>
      </c>
      <c r="AC62" s="235">
        <v>0</v>
      </c>
      <c r="AD62" s="235">
        <v>0</v>
      </c>
      <c r="AE62" s="235">
        <v>0</v>
      </c>
      <c r="AF62" s="235">
        <v>0</v>
      </c>
      <c r="AG62" s="235">
        <v>0</v>
      </c>
      <c r="AH62" s="235">
        <v>0</v>
      </c>
      <c r="AI62" s="235">
        <v>0</v>
      </c>
      <c r="AJ62" s="235">
        <v>0</v>
      </c>
      <c r="AK62" s="235">
        <v>0</v>
      </c>
      <c r="AL62" s="235">
        <v>0</v>
      </c>
      <c r="AM62" s="235">
        <v>0</v>
      </c>
    </row>
    <row r="63" spans="1:39">
      <c r="A63" s="211"/>
      <c r="B63" s="211"/>
      <c r="C63" s="211"/>
      <c r="D63" s="238"/>
      <c r="E63" s="238"/>
      <c r="F63" s="211"/>
      <c r="G63" s="211"/>
      <c r="H63" s="203"/>
      <c r="I63" s="203"/>
      <c r="J63" s="548" t="s">
        <v>228</v>
      </c>
      <c r="K63" s="549"/>
      <c r="L63" s="240">
        <f>SUM(L39:L62)</f>
        <v>1.0000000000000002</v>
      </c>
      <c r="M63" s="240">
        <f t="shared" ref="M63:W63" si="1">SUM(M39:M62)</f>
        <v>1.0000000000000002</v>
      </c>
      <c r="N63" s="240">
        <f t="shared" si="1"/>
        <v>1.0000000000000002</v>
      </c>
      <c r="O63" s="240">
        <f t="shared" si="1"/>
        <v>1.0000000000000002</v>
      </c>
      <c r="P63" s="240">
        <f t="shared" si="1"/>
        <v>1.0000000000000002</v>
      </c>
      <c r="Q63" s="240">
        <f t="shared" si="1"/>
        <v>1.0000000000000002</v>
      </c>
      <c r="R63" s="240">
        <f t="shared" si="1"/>
        <v>1.0000000000000002</v>
      </c>
      <c r="S63" s="240">
        <f t="shared" si="1"/>
        <v>1.0000000000000002</v>
      </c>
      <c r="T63" s="240">
        <f t="shared" si="1"/>
        <v>1.0000000000000002</v>
      </c>
      <c r="U63" s="240">
        <f t="shared" si="1"/>
        <v>1.0000000000000002</v>
      </c>
      <c r="V63" s="240">
        <f t="shared" si="1"/>
        <v>1.0000000000000002</v>
      </c>
      <c r="W63" s="240">
        <f t="shared" si="1"/>
        <v>1.0000000000000002</v>
      </c>
      <c r="X63" s="241">
        <f>SUM(X39:X62)</f>
        <v>1.0000000000000002</v>
      </c>
      <c r="Y63" s="242"/>
      <c r="Z63" s="202"/>
      <c r="AA63" s="243"/>
      <c r="AB63" s="206"/>
      <c r="AC63" s="206"/>
      <c r="AD63" s="206"/>
      <c r="AE63" s="206"/>
      <c r="AF63" s="206"/>
      <c r="AG63" s="206"/>
      <c r="AH63" s="206"/>
      <c r="AI63" s="206"/>
      <c r="AJ63" s="206"/>
      <c r="AK63" s="206"/>
      <c r="AL63" s="206"/>
      <c r="AM63" s="206"/>
    </row>
    <row r="64" spans="1:39">
      <c r="A64" s="211"/>
      <c r="B64" s="211"/>
      <c r="C64" s="211"/>
      <c r="D64" s="238"/>
      <c r="E64" s="238"/>
      <c r="F64" s="211"/>
      <c r="G64" s="211"/>
      <c r="H64" s="203"/>
      <c r="I64" s="203"/>
      <c r="J64" s="536"/>
      <c r="K64" s="537"/>
      <c r="L64" s="229" t="str">
        <f>IF(L63=100%,"OK","NO")</f>
        <v>OK</v>
      </c>
      <c r="M64" s="229" t="str">
        <f t="shared" ref="M64:X64" si="2">IF(M63=100%,"OK","NO")</f>
        <v>OK</v>
      </c>
      <c r="N64" s="229" t="str">
        <f t="shared" si="2"/>
        <v>OK</v>
      </c>
      <c r="O64" s="229" t="str">
        <f t="shared" si="2"/>
        <v>OK</v>
      </c>
      <c r="P64" s="229" t="str">
        <f t="shared" si="2"/>
        <v>OK</v>
      </c>
      <c r="Q64" s="229" t="str">
        <f t="shared" si="2"/>
        <v>OK</v>
      </c>
      <c r="R64" s="229" t="str">
        <f t="shared" si="2"/>
        <v>OK</v>
      </c>
      <c r="S64" s="229" t="str">
        <f t="shared" si="2"/>
        <v>OK</v>
      </c>
      <c r="T64" s="229" t="str">
        <f t="shared" si="2"/>
        <v>OK</v>
      </c>
      <c r="U64" s="229" t="str">
        <f t="shared" si="2"/>
        <v>OK</v>
      </c>
      <c r="V64" s="229" t="str">
        <f t="shared" si="2"/>
        <v>OK</v>
      </c>
      <c r="W64" s="229" t="str">
        <f t="shared" si="2"/>
        <v>OK</v>
      </c>
      <c r="X64" s="244" t="str">
        <f t="shared" si="2"/>
        <v>OK</v>
      </c>
      <c r="Y64" s="245"/>
      <c r="Z64" s="202"/>
      <c r="AA64" s="246" t="s">
        <v>229</v>
      </c>
      <c r="AB64" s="247">
        <f t="shared" ref="AB64:AM64" si="3">SUM(AB39:AB62)</f>
        <v>1</v>
      </c>
      <c r="AC64" s="247">
        <f t="shared" si="3"/>
        <v>0.99999999999999967</v>
      </c>
      <c r="AD64" s="247">
        <f t="shared" si="3"/>
        <v>1</v>
      </c>
      <c r="AE64" s="247">
        <f t="shared" si="3"/>
        <v>0.99999999999999989</v>
      </c>
      <c r="AF64" s="247">
        <f t="shared" si="3"/>
        <v>1</v>
      </c>
      <c r="AG64" s="247">
        <f t="shared" si="3"/>
        <v>1</v>
      </c>
      <c r="AH64" s="247">
        <f t="shared" si="3"/>
        <v>1</v>
      </c>
      <c r="AI64" s="247">
        <f t="shared" si="3"/>
        <v>1.0000000000000002</v>
      </c>
      <c r="AJ64" s="247">
        <f t="shared" si="3"/>
        <v>1.0000000000000002</v>
      </c>
      <c r="AK64" s="247">
        <f t="shared" si="3"/>
        <v>0.99999999999999956</v>
      </c>
      <c r="AL64" s="247">
        <f t="shared" si="3"/>
        <v>1</v>
      </c>
      <c r="AM64" s="247">
        <f t="shared" si="3"/>
        <v>1</v>
      </c>
    </row>
    <row r="65" spans="1:40">
      <c r="A65" s="211"/>
      <c r="B65" s="211"/>
      <c r="C65" s="211"/>
      <c r="D65" s="238"/>
      <c r="E65" s="238"/>
      <c r="F65" s="211"/>
      <c r="G65" s="211"/>
      <c r="H65" s="203"/>
      <c r="I65" s="203"/>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row>
    <row r="66" spans="1:40">
      <c r="A66" s="208"/>
      <c r="B66" s="211"/>
      <c r="C66" s="211"/>
      <c r="D66" s="211"/>
      <c r="E66" s="238"/>
      <c r="F66" s="285"/>
      <c r="G66" s="211"/>
      <c r="H66" s="203"/>
      <c r="I66" s="203"/>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row>
    <row r="67" spans="1:40">
      <c r="A67" s="208"/>
      <c r="B67" s="286"/>
      <c r="C67" s="286"/>
      <c r="D67" s="208"/>
      <c r="E67" s="208"/>
      <c r="F67" s="208"/>
      <c r="G67" s="208"/>
      <c r="H67" s="203"/>
      <c r="I67" s="203"/>
      <c r="J67" s="202"/>
      <c r="K67" s="202"/>
      <c r="L67" s="202"/>
      <c r="M67" s="202"/>
      <c r="N67" s="202"/>
      <c r="O67" s="202"/>
      <c r="P67" s="202"/>
      <c r="Q67" s="202"/>
      <c r="R67" s="202"/>
      <c r="S67" s="202"/>
      <c r="T67" s="202"/>
      <c r="U67" s="202"/>
      <c r="V67" s="202"/>
      <c r="W67" s="202"/>
      <c r="X67" s="202"/>
      <c r="Y67" s="202"/>
      <c r="Z67" s="208"/>
      <c r="AA67" s="208"/>
      <c r="AB67" s="208"/>
      <c r="AC67" s="208"/>
      <c r="AD67" s="208"/>
      <c r="AE67" s="208"/>
      <c r="AF67" s="208"/>
      <c r="AG67" s="208"/>
      <c r="AH67" s="208"/>
      <c r="AI67" s="208"/>
      <c r="AJ67" s="208"/>
      <c r="AK67" s="208"/>
      <c r="AL67" s="208"/>
      <c r="AM67" s="208"/>
      <c r="AN67" s="248"/>
    </row>
    <row r="68" spans="1:40">
      <c r="A68" s="208"/>
      <c r="B68" s="208"/>
      <c r="C68" s="208"/>
      <c r="D68" s="208"/>
      <c r="E68" s="208"/>
      <c r="F68" s="211"/>
      <c r="G68" s="208"/>
      <c r="H68" s="203"/>
      <c r="I68" s="203"/>
      <c r="J68" s="223"/>
      <c r="K68" s="558" t="s">
        <v>230</v>
      </c>
      <c r="L68" s="559"/>
      <c r="M68" s="559"/>
      <c r="N68" s="559"/>
      <c r="O68" s="559"/>
      <c r="P68" s="559"/>
      <c r="Q68" s="559"/>
      <c r="R68" s="559"/>
      <c r="S68" s="559"/>
      <c r="T68" s="559"/>
      <c r="U68" s="559"/>
      <c r="V68" s="559"/>
      <c r="W68" s="560"/>
      <c r="X68" s="208"/>
      <c r="Y68" s="208"/>
      <c r="Z68" s="208"/>
      <c r="AA68" s="545" t="s">
        <v>231</v>
      </c>
      <c r="AB68" s="546"/>
      <c r="AC68" s="546"/>
      <c r="AD68" s="546"/>
      <c r="AE68" s="546"/>
      <c r="AF68" s="546"/>
      <c r="AG68" s="546"/>
      <c r="AH68" s="546"/>
      <c r="AI68" s="546"/>
      <c r="AJ68" s="546"/>
      <c r="AK68" s="546"/>
      <c r="AL68" s="546"/>
      <c r="AM68" s="547"/>
      <c r="AN68" s="248"/>
    </row>
    <row r="69" spans="1:40" ht="24.75" thickBot="1">
      <c r="A69" s="236"/>
      <c r="B69" s="208"/>
      <c r="C69" s="208"/>
      <c r="D69" s="208"/>
      <c r="E69" s="208"/>
      <c r="F69" s="208"/>
      <c r="G69" s="208"/>
      <c r="H69" s="203"/>
      <c r="I69" s="203"/>
      <c r="J69" s="223"/>
      <c r="K69" s="224" t="s">
        <v>214</v>
      </c>
      <c r="L69" s="229" t="s">
        <v>215</v>
      </c>
      <c r="M69" s="229" t="s">
        <v>216</v>
      </c>
      <c r="N69" s="229" t="s">
        <v>217</v>
      </c>
      <c r="O69" s="229" t="s">
        <v>218</v>
      </c>
      <c r="P69" s="229" t="s">
        <v>219</v>
      </c>
      <c r="Q69" s="229" t="s">
        <v>220</v>
      </c>
      <c r="R69" s="229" t="s">
        <v>221</v>
      </c>
      <c r="S69" s="229" t="s">
        <v>222</v>
      </c>
      <c r="T69" s="229" t="s">
        <v>223</v>
      </c>
      <c r="U69" s="229" t="s">
        <v>224</v>
      </c>
      <c r="V69" s="229" t="s">
        <v>225</v>
      </c>
      <c r="W69" s="229" t="s">
        <v>226</v>
      </c>
      <c r="X69" s="208"/>
      <c r="Y69" s="208"/>
      <c r="Z69" s="208"/>
      <c r="AA69" s="228" t="s">
        <v>214</v>
      </c>
      <c r="AB69" s="229" t="s">
        <v>215</v>
      </c>
      <c r="AC69" s="229" t="s">
        <v>216</v>
      </c>
      <c r="AD69" s="229" t="s">
        <v>217</v>
      </c>
      <c r="AE69" s="229" t="s">
        <v>218</v>
      </c>
      <c r="AF69" s="229" t="s">
        <v>219</v>
      </c>
      <c r="AG69" s="229" t="s">
        <v>220</v>
      </c>
      <c r="AH69" s="229" t="s">
        <v>221</v>
      </c>
      <c r="AI69" s="229" t="s">
        <v>222</v>
      </c>
      <c r="AJ69" s="229" t="s">
        <v>223</v>
      </c>
      <c r="AK69" s="229" t="s">
        <v>224</v>
      </c>
      <c r="AL69" s="229" t="s">
        <v>225</v>
      </c>
      <c r="AM69" s="229" t="s">
        <v>226</v>
      </c>
      <c r="AN69" s="248"/>
    </row>
    <row r="70" spans="1:40" ht="13.5" thickBot="1">
      <c r="A70" s="287"/>
      <c r="B70" s="208"/>
      <c r="C70" s="208"/>
      <c r="D70" s="208"/>
      <c r="E70" s="208"/>
      <c r="F70" s="208"/>
      <c r="G70" s="208"/>
      <c r="H70" s="203"/>
      <c r="I70" s="203"/>
      <c r="J70" s="223"/>
      <c r="K70" s="230">
        <v>0</v>
      </c>
      <c r="L70" s="300">
        <f>$K$168*L39/31</f>
        <v>69.677419354838705</v>
      </c>
      <c r="M70" s="300">
        <f>$L$168*M39/31</f>
        <v>56.12903225806452</v>
      </c>
      <c r="N70" s="300">
        <f>$M$168*N39/31</f>
        <v>61.935483870967744</v>
      </c>
      <c r="O70" s="300">
        <f>$N$168*O39/31</f>
        <v>64.838709677419359</v>
      </c>
      <c r="P70" s="300">
        <f>$O$168*P39/31</f>
        <v>77.41935483870968</v>
      </c>
      <c r="Q70" s="300">
        <f>$P$168*Q39/31</f>
        <v>103.54838709677419</v>
      </c>
      <c r="R70" s="300">
        <f>$K$170*R39/31</f>
        <v>123.87096774193549</v>
      </c>
      <c r="S70" s="300">
        <f>$L$170*S39/31</f>
        <v>113.2258064516129</v>
      </c>
      <c r="T70" s="300">
        <f>$M$170*T39/31</f>
        <v>101.61290322580645</v>
      </c>
      <c r="U70" s="300">
        <f>$N$170*U39/31</f>
        <v>60</v>
      </c>
      <c r="V70" s="300">
        <f>$O$170*V39/31</f>
        <v>65.806451612903231</v>
      </c>
      <c r="W70" s="300">
        <f>$P$170*W39/31</f>
        <v>69.677419354838705</v>
      </c>
      <c r="X70" s="208"/>
      <c r="Y70" s="208"/>
      <c r="Z70" s="208"/>
      <c r="AA70" s="234">
        <v>0</v>
      </c>
      <c r="AB70" s="304">
        <f>$K$180*AB39/31</f>
        <v>0</v>
      </c>
      <c r="AC70" s="304">
        <f>$L$180*AC39/31</f>
        <v>0</v>
      </c>
      <c r="AD70" s="304">
        <f>$M$180*AD39/31</f>
        <v>0</v>
      </c>
      <c r="AE70" s="304">
        <f>$N$180*AE39/31</f>
        <v>0</v>
      </c>
      <c r="AF70" s="304">
        <f>$O$180*AF39/31</f>
        <v>0</v>
      </c>
      <c r="AG70" s="304">
        <f>$P$180*AG39/31</f>
        <v>0</v>
      </c>
      <c r="AH70" s="304">
        <f>$K$182*AH39/31</f>
        <v>0</v>
      </c>
      <c r="AI70" s="304">
        <f>$L$182*AI39/31</f>
        <v>0</v>
      </c>
      <c r="AJ70" s="304">
        <f>$M$182*AJ39/31</f>
        <v>0</v>
      </c>
      <c r="AK70" s="304">
        <f>$N$182*AK39/31</f>
        <v>0</v>
      </c>
      <c r="AL70" s="304">
        <f>$O$182*AL39/31</f>
        <v>0</v>
      </c>
      <c r="AM70" s="304">
        <f>$P$182*AM39/31</f>
        <v>0</v>
      </c>
      <c r="AN70" s="248"/>
    </row>
    <row r="71" spans="1:40" ht="13.5" thickBot="1">
      <c r="A71" s="250"/>
      <c r="B71" s="208"/>
      <c r="C71" s="208"/>
      <c r="D71" s="208"/>
      <c r="E71" s="208"/>
      <c r="F71" s="208"/>
      <c r="G71" s="208"/>
      <c r="H71" s="203"/>
      <c r="I71" s="203"/>
      <c r="J71" s="223"/>
      <c r="K71" s="230">
        <v>1</v>
      </c>
      <c r="L71" s="300">
        <f t="shared" ref="L71:L93" si="4">$K$168*L40/31</f>
        <v>46.451612903225808</v>
      </c>
      <c r="M71" s="300">
        <f t="shared" ref="M71:M93" si="5">$L$168*M40/31</f>
        <v>37.41935483870968</v>
      </c>
      <c r="N71" s="300">
        <f t="shared" ref="N71:N93" si="6">$M$168*N40/31</f>
        <v>41.29032258064516</v>
      </c>
      <c r="O71" s="300">
        <f t="shared" ref="O71:O93" si="7">$N$168*O40/31</f>
        <v>43.225806451612904</v>
      </c>
      <c r="P71" s="300">
        <f t="shared" ref="P71:P93" si="8">$O$168*P40/31</f>
        <v>51.612903225806448</v>
      </c>
      <c r="Q71" s="300">
        <f t="shared" ref="Q71:Q93" si="9">$P$168*Q40/31</f>
        <v>69.032258064516128</v>
      </c>
      <c r="R71" s="300">
        <f t="shared" ref="R71:R93" si="10">$K$170*R40/31</f>
        <v>82.58064516129032</v>
      </c>
      <c r="S71" s="300">
        <f t="shared" ref="S71:S93" si="11">$L$170*S40/31</f>
        <v>75.483870967741936</v>
      </c>
      <c r="T71" s="300">
        <f t="shared" ref="T71:T93" si="12">$M$170*T40/31</f>
        <v>67.741935483870961</v>
      </c>
      <c r="U71" s="300">
        <f t="shared" ref="U71:U93" si="13">$N$170*U40/31</f>
        <v>40</v>
      </c>
      <c r="V71" s="300">
        <f t="shared" ref="V71:V93" si="14">$O$170*V40/31</f>
        <v>43.87096774193548</v>
      </c>
      <c r="W71" s="300">
        <f t="shared" ref="W71:W93" si="15">$P$170*W40/31</f>
        <v>46.451612903225808</v>
      </c>
      <c r="X71" s="208"/>
      <c r="Y71" s="208"/>
      <c r="Z71" s="208"/>
      <c r="AA71" s="234">
        <v>1</v>
      </c>
      <c r="AB71" s="304">
        <f t="shared" ref="AB71:AB93" si="16">$K$180*AB40/31</f>
        <v>0</v>
      </c>
      <c r="AC71" s="304">
        <f t="shared" ref="AC71:AC93" si="17">$L$180*AC40/31</f>
        <v>0</v>
      </c>
      <c r="AD71" s="304">
        <f t="shared" ref="AD71:AD93" si="18">$M$180*AD40/31</f>
        <v>0</v>
      </c>
      <c r="AE71" s="304">
        <f t="shared" ref="AE71:AE93" si="19">$N$180*AE40/31</f>
        <v>0</v>
      </c>
      <c r="AF71" s="304">
        <f t="shared" ref="AF71:AF93" si="20">$O$180*AF40/31</f>
        <v>0</v>
      </c>
      <c r="AG71" s="304">
        <f t="shared" ref="AG71:AG93" si="21">$P$180*AG40/31</f>
        <v>0</v>
      </c>
      <c r="AH71" s="304">
        <f t="shared" ref="AH71:AH93" si="22">$K$182*AH40/31</f>
        <v>0</v>
      </c>
      <c r="AI71" s="304">
        <f t="shared" ref="AI71:AI93" si="23">$L$182*AI40/31</f>
        <v>0</v>
      </c>
      <c r="AJ71" s="304">
        <f t="shared" ref="AJ71:AJ93" si="24">$M$182*AJ40/31</f>
        <v>0</v>
      </c>
      <c r="AK71" s="304">
        <f t="shared" ref="AK71:AK93" si="25">$N$182*AK40/31</f>
        <v>0</v>
      </c>
      <c r="AL71" s="304">
        <f t="shared" ref="AL71:AL93" si="26">$O$182*AL40/31</f>
        <v>0</v>
      </c>
      <c r="AM71" s="304">
        <f t="shared" ref="AM71:AM93" si="27">$P$182*AM40/31</f>
        <v>0</v>
      </c>
      <c r="AN71" s="248"/>
    </row>
    <row r="72" spans="1:40" ht="13.5" thickBot="1">
      <c r="A72" s="250"/>
      <c r="B72" s="541"/>
      <c r="C72" s="541"/>
      <c r="D72" s="541"/>
      <c r="E72" s="208"/>
      <c r="F72" s="208"/>
      <c r="G72" s="208"/>
      <c r="H72" s="202"/>
      <c r="I72" s="202"/>
      <c r="J72" s="223"/>
      <c r="K72" s="230">
        <v>2</v>
      </c>
      <c r="L72" s="300">
        <f t="shared" si="4"/>
        <v>46.451612903225808</v>
      </c>
      <c r="M72" s="300">
        <f t="shared" si="5"/>
        <v>37.41935483870968</v>
      </c>
      <c r="N72" s="300">
        <f t="shared" si="6"/>
        <v>41.29032258064516</v>
      </c>
      <c r="O72" s="300">
        <f t="shared" si="7"/>
        <v>43.225806451612904</v>
      </c>
      <c r="P72" s="300">
        <f t="shared" si="8"/>
        <v>51.612903225806448</v>
      </c>
      <c r="Q72" s="300">
        <f t="shared" si="9"/>
        <v>69.032258064516128</v>
      </c>
      <c r="R72" s="300">
        <f t="shared" si="10"/>
        <v>82.58064516129032</v>
      </c>
      <c r="S72" s="300">
        <f t="shared" si="11"/>
        <v>75.483870967741936</v>
      </c>
      <c r="T72" s="300">
        <f t="shared" si="12"/>
        <v>67.741935483870961</v>
      </c>
      <c r="U72" s="300">
        <f t="shared" si="13"/>
        <v>40</v>
      </c>
      <c r="V72" s="300">
        <f t="shared" si="14"/>
        <v>43.87096774193548</v>
      </c>
      <c r="W72" s="300">
        <f t="shared" si="15"/>
        <v>46.451612903225808</v>
      </c>
      <c r="X72" s="208"/>
      <c r="Y72" s="208"/>
      <c r="Z72" s="208"/>
      <c r="AA72" s="234">
        <v>2</v>
      </c>
      <c r="AB72" s="304">
        <f t="shared" si="16"/>
        <v>0</v>
      </c>
      <c r="AC72" s="304">
        <f t="shared" si="17"/>
        <v>0</v>
      </c>
      <c r="AD72" s="304">
        <f t="shared" si="18"/>
        <v>0</v>
      </c>
      <c r="AE72" s="304">
        <f t="shared" si="19"/>
        <v>0</v>
      </c>
      <c r="AF72" s="304">
        <f t="shared" si="20"/>
        <v>0</v>
      </c>
      <c r="AG72" s="304">
        <f t="shared" si="21"/>
        <v>0</v>
      </c>
      <c r="AH72" s="304">
        <f t="shared" si="22"/>
        <v>0</v>
      </c>
      <c r="AI72" s="304">
        <f t="shared" si="23"/>
        <v>0</v>
      </c>
      <c r="AJ72" s="304">
        <f t="shared" si="24"/>
        <v>0</v>
      </c>
      <c r="AK72" s="304">
        <f t="shared" si="25"/>
        <v>0</v>
      </c>
      <c r="AL72" s="304">
        <f t="shared" si="26"/>
        <v>0</v>
      </c>
      <c r="AM72" s="304">
        <f t="shared" si="27"/>
        <v>0</v>
      </c>
      <c r="AN72" s="248"/>
    </row>
    <row r="73" spans="1:40" ht="13.5" thickBot="1">
      <c r="A73" s="250"/>
      <c r="B73" s="276"/>
      <c r="C73" s="457"/>
      <c r="D73" s="276"/>
      <c r="E73" s="208"/>
      <c r="F73" s="208"/>
      <c r="G73" s="208"/>
      <c r="H73" s="202"/>
      <c r="I73" s="202"/>
      <c r="J73" s="223"/>
      <c r="K73" s="230">
        <v>3</v>
      </c>
      <c r="L73" s="300">
        <f t="shared" si="4"/>
        <v>46.451612903225808</v>
      </c>
      <c r="M73" s="300">
        <f t="shared" si="5"/>
        <v>37.41935483870968</v>
      </c>
      <c r="N73" s="300">
        <f t="shared" si="6"/>
        <v>41.29032258064516</v>
      </c>
      <c r="O73" s="300">
        <f t="shared" si="7"/>
        <v>43.225806451612904</v>
      </c>
      <c r="P73" s="300">
        <f t="shared" si="8"/>
        <v>51.612903225806448</v>
      </c>
      <c r="Q73" s="300">
        <f t="shared" si="9"/>
        <v>69.032258064516128</v>
      </c>
      <c r="R73" s="300">
        <f t="shared" si="10"/>
        <v>82.58064516129032</v>
      </c>
      <c r="S73" s="300">
        <f t="shared" si="11"/>
        <v>75.483870967741936</v>
      </c>
      <c r="T73" s="300">
        <f t="shared" si="12"/>
        <v>67.741935483870961</v>
      </c>
      <c r="U73" s="300">
        <f t="shared" si="13"/>
        <v>40</v>
      </c>
      <c r="V73" s="300">
        <f t="shared" si="14"/>
        <v>43.87096774193548</v>
      </c>
      <c r="W73" s="300">
        <f t="shared" si="15"/>
        <v>46.451612903225808</v>
      </c>
      <c r="X73" s="208"/>
      <c r="Y73" s="208"/>
      <c r="Z73" s="208"/>
      <c r="AA73" s="234">
        <v>3</v>
      </c>
      <c r="AB73" s="304">
        <f t="shared" si="16"/>
        <v>0</v>
      </c>
      <c r="AC73" s="304">
        <f t="shared" si="17"/>
        <v>0</v>
      </c>
      <c r="AD73" s="304">
        <f t="shared" si="18"/>
        <v>0</v>
      </c>
      <c r="AE73" s="304">
        <f t="shared" si="19"/>
        <v>0</v>
      </c>
      <c r="AF73" s="304">
        <f t="shared" si="20"/>
        <v>0</v>
      </c>
      <c r="AG73" s="304">
        <f t="shared" si="21"/>
        <v>0</v>
      </c>
      <c r="AH73" s="304">
        <f t="shared" si="22"/>
        <v>0</v>
      </c>
      <c r="AI73" s="304">
        <f t="shared" si="23"/>
        <v>0</v>
      </c>
      <c r="AJ73" s="304">
        <f t="shared" si="24"/>
        <v>0</v>
      </c>
      <c r="AK73" s="304">
        <f t="shared" si="25"/>
        <v>0</v>
      </c>
      <c r="AL73" s="304">
        <f t="shared" si="26"/>
        <v>0</v>
      </c>
      <c r="AM73" s="304">
        <f t="shared" si="27"/>
        <v>0</v>
      </c>
      <c r="AN73" s="248"/>
    </row>
    <row r="74" spans="1:40" ht="13.5" thickBot="1">
      <c r="A74" s="250"/>
      <c r="B74" s="276"/>
      <c r="C74" s="457"/>
      <c r="D74" s="276"/>
      <c r="E74" s="208"/>
      <c r="F74" s="208"/>
      <c r="G74" s="208"/>
      <c r="H74" s="202"/>
      <c r="I74" s="202"/>
      <c r="J74" s="223"/>
      <c r="K74" s="230">
        <v>4</v>
      </c>
      <c r="L74" s="300">
        <f t="shared" si="4"/>
        <v>46.451612903225808</v>
      </c>
      <c r="M74" s="300">
        <f t="shared" si="5"/>
        <v>37.41935483870968</v>
      </c>
      <c r="N74" s="300">
        <f t="shared" si="6"/>
        <v>41.29032258064516</v>
      </c>
      <c r="O74" s="300">
        <f t="shared" si="7"/>
        <v>43.225806451612904</v>
      </c>
      <c r="P74" s="300">
        <f t="shared" si="8"/>
        <v>51.612903225806448</v>
      </c>
      <c r="Q74" s="300">
        <f t="shared" si="9"/>
        <v>69.032258064516128</v>
      </c>
      <c r="R74" s="300">
        <f t="shared" si="10"/>
        <v>82.58064516129032</v>
      </c>
      <c r="S74" s="300">
        <f t="shared" si="11"/>
        <v>75.483870967741936</v>
      </c>
      <c r="T74" s="300">
        <f t="shared" si="12"/>
        <v>67.741935483870961</v>
      </c>
      <c r="U74" s="300">
        <f t="shared" si="13"/>
        <v>40</v>
      </c>
      <c r="V74" s="300">
        <f t="shared" si="14"/>
        <v>43.87096774193548</v>
      </c>
      <c r="W74" s="300">
        <f t="shared" si="15"/>
        <v>46.451612903225808</v>
      </c>
      <c r="X74" s="208"/>
      <c r="Y74" s="208"/>
      <c r="Z74" s="208"/>
      <c r="AA74" s="234">
        <v>4</v>
      </c>
      <c r="AB74" s="304">
        <f t="shared" si="16"/>
        <v>0</v>
      </c>
      <c r="AC74" s="304">
        <f t="shared" si="17"/>
        <v>0</v>
      </c>
      <c r="AD74" s="304">
        <f t="shared" si="18"/>
        <v>0</v>
      </c>
      <c r="AE74" s="304">
        <f t="shared" si="19"/>
        <v>0</v>
      </c>
      <c r="AF74" s="304">
        <f t="shared" si="20"/>
        <v>0</v>
      </c>
      <c r="AG74" s="304">
        <f t="shared" si="21"/>
        <v>0</v>
      </c>
      <c r="AH74" s="304">
        <f t="shared" si="22"/>
        <v>0</v>
      </c>
      <c r="AI74" s="304">
        <f t="shared" si="23"/>
        <v>0</v>
      </c>
      <c r="AJ74" s="304">
        <f t="shared" si="24"/>
        <v>0</v>
      </c>
      <c r="AK74" s="304">
        <f t="shared" si="25"/>
        <v>0</v>
      </c>
      <c r="AL74" s="304">
        <f t="shared" si="26"/>
        <v>0</v>
      </c>
      <c r="AM74" s="304">
        <f t="shared" si="27"/>
        <v>0</v>
      </c>
      <c r="AN74" s="248"/>
    </row>
    <row r="75" spans="1:40" ht="13.5" thickBot="1">
      <c r="A75" s="250"/>
      <c r="B75" s="276"/>
      <c r="C75" s="457"/>
      <c r="D75" s="276"/>
      <c r="E75" s="208"/>
      <c r="F75" s="208"/>
      <c r="G75" s="208"/>
      <c r="H75" s="202"/>
      <c r="I75" s="202"/>
      <c r="J75" s="223"/>
      <c r="K75" s="230">
        <v>5</v>
      </c>
      <c r="L75" s="300">
        <f t="shared" si="4"/>
        <v>69.677419354838705</v>
      </c>
      <c r="M75" s="300">
        <f t="shared" si="5"/>
        <v>56.12903225806452</v>
      </c>
      <c r="N75" s="300">
        <f t="shared" si="6"/>
        <v>61.935483870967744</v>
      </c>
      <c r="O75" s="300">
        <f t="shared" si="7"/>
        <v>64.838709677419359</v>
      </c>
      <c r="P75" s="300">
        <f t="shared" si="8"/>
        <v>77.41935483870968</v>
      </c>
      <c r="Q75" s="300">
        <f t="shared" si="9"/>
        <v>103.54838709677419</v>
      </c>
      <c r="R75" s="300">
        <f t="shared" si="10"/>
        <v>123.87096774193549</v>
      </c>
      <c r="S75" s="300">
        <f t="shared" si="11"/>
        <v>113.2258064516129</v>
      </c>
      <c r="T75" s="300">
        <f t="shared" si="12"/>
        <v>101.61290322580645</v>
      </c>
      <c r="U75" s="300">
        <f t="shared" si="13"/>
        <v>60</v>
      </c>
      <c r="V75" s="300">
        <f t="shared" si="14"/>
        <v>65.806451612903231</v>
      </c>
      <c r="W75" s="300">
        <f t="shared" si="15"/>
        <v>69.677419354838705</v>
      </c>
      <c r="X75" s="208"/>
      <c r="Y75" s="208"/>
      <c r="Z75" s="208"/>
      <c r="AA75" s="234">
        <v>5</v>
      </c>
      <c r="AB75" s="304">
        <f t="shared" si="16"/>
        <v>0</v>
      </c>
      <c r="AC75" s="304">
        <f t="shared" si="17"/>
        <v>0</v>
      </c>
      <c r="AD75" s="304">
        <f t="shared" si="18"/>
        <v>0</v>
      </c>
      <c r="AE75" s="304">
        <f t="shared" si="19"/>
        <v>1.966858546459022</v>
      </c>
      <c r="AF75" s="304">
        <f t="shared" si="20"/>
        <v>25.78574861378172</v>
      </c>
      <c r="AG75" s="304">
        <f t="shared" si="21"/>
        <v>36.91002567942968</v>
      </c>
      <c r="AH75" s="304">
        <f t="shared" si="22"/>
        <v>29.969688910361345</v>
      </c>
      <c r="AI75" s="304">
        <f t="shared" si="23"/>
        <v>4.9434814162553788</v>
      </c>
      <c r="AJ75" s="304">
        <f t="shared" si="24"/>
        <v>0</v>
      </c>
      <c r="AK75" s="304">
        <f t="shared" si="25"/>
        <v>0</v>
      </c>
      <c r="AL75" s="304">
        <f t="shared" si="26"/>
        <v>0</v>
      </c>
      <c r="AM75" s="304">
        <f t="shared" si="27"/>
        <v>0</v>
      </c>
      <c r="AN75" s="248"/>
    </row>
    <row r="76" spans="1:40" ht="13.5" thickBot="1">
      <c r="A76" s="250"/>
      <c r="B76" s="276"/>
      <c r="C76" s="457"/>
      <c r="D76" s="276"/>
      <c r="E76" s="208"/>
      <c r="F76" s="208"/>
      <c r="G76" s="208"/>
      <c r="H76" s="202"/>
      <c r="I76" s="202"/>
      <c r="J76" s="223"/>
      <c r="K76" s="230">
        <v>6</v>
      </c>
      <c r="L76" s="300">
        <f t="shared" si="4"/>
        <v>92.903225806451616</v>
      </c>
      <c r="M76" s="300">
        <f t="shared" si="5"/>
        <v>74.838709677419359</v>
      </c>
      <c r="N76" s="300">
        <f t="shared" si="6"/>
        <v>82.58064516129032</v>
      </c>
      <c r="O76" s="300">
        <f t="shared" si="7"/>
        <v>86.451612903225808</v>
      </c>
      <c r="P76" s="300">
        <f t="shared" si="8"/>
        <v>103.2258064516129</v>
      </c>
      <c r="Q76" s="300">
        <f t="shared" si="9"/>
        <v>138.06451612903226</v>
      </c>
      <c r="R76" s="300">
        <f t="shared" si="10"/>
        <v>165.16129032258064</v>
      </c>
      <c r="S76" s="300">
        <f t="shared" si="11"/>
        <v>150.96774193548387</v>
      </c>
      <c r="T76" s="300">
        <f t="shared" si="12"/>
        <v>135.48387096774192</v>
      </c>
      <c r="U76" s="300">
        <f t="shared" si="13"/>
        <v>80</v>
      </c>
      <c r="V76" s="300">
        <f t="shared" si="14"/>
        <v>87.741935483870961</v>
      </c>
      <c r="W76" s="300">
        <f t="shared" si="15"/>
        <v>92.903225806451616</v>
      </c>
      <c r="X76" s="208"/>
      <c r="Y76" s="208"/>
      <c r="Z76" s="208"/>
      <c r="AA76" s="234">
        <v>6</v>
      </c>
      <c r="AB76" s="304">
        <f t="shared" si="16"/>
        <v>0</v>
      </c>
      <c r="AC76" s="304">
        <f t="shared" si="17"/>
        <v>0</v>
      </c>
      <c r="AD76" s="304">
        <f t="shared" si="18"/>
        <v>7.4121661042740579</v>
      </c>
      <c r="AE76" s="304">
        <f t="shared" si="19"/>
        <v>41.129771520305049</v>
      </c>
      <c r="AF76" s="304">
        <f t="shared" si="20"/>
        <v>69.635956890642859</v>
      </c>
      <c r="AG76" s="304">
        <f t="shared" si="21"/>
        <v>76.665641375770605</v>
      </c>
      <c r="AH76" s="304">
        <f t="shared" si="22"/>
        <v>73.494076861955207</v>
      </c>
      <c r="AI76" s="304">
        <f t="shared" si="23"/>
        <v>30.548475171374982</v>
      </c>
      <c r="AJ76" s="304">
        <f t="shared" si="24"/>
        <v>16.975440438266027</v>
      </c>
      <c r="AK76" s="304">
        <f t="shared" si="25"/>
        <v>0</v>
      </c>
      <c r="AL76" s="304">
        <f t="shared" si="26"/>
        <v>0</v>
      </c>
      <c r="AM76" s="304">
        <f t="shared" si="27"/>
        <v>0</v>
      </c>
      <c r="AN76" s="248"/>
    </row>
    <row r="77" spans="1:40" ht="13.5" thickBot="1">
      <c r="A77" s="250"/>
      <c r="B77" s="276"/>
      <c r="C77" s="457"/>
      <c r="D77" s="276"/>
      <c r="E77" s="208"/>
      <c r="F77" s="208"/>
      <c r="G77" s="208"/>
      <c r="H77" s="202"/>
      <c r="I77" s="202"/>
      <c r="J77" s="223"/>
      <c r="K77" s="230">
        <v>7</v>
      </c>
      <c r="L77" s="300">
        <f t="shared" si="4"/>
        <v>116.12903225806451</v>
      </c>
      <c r="M77" s="300">
        <f t="shared" si="5"/>
        <v>93.548387096774192</v>
      </c>
      <c r="N77" s="300">
        <f t="shared" si="6"/>
        <v>103.2258064516129</v>
      </c>
      <c r="O77" s="300">
        <f t="shared" si="7"/>
        <v>108.06451612903226</v>
      </c>
      <c r="P77" s="300">
        <f t="shared" si="8"/>
        <v>129.03225806451613</v>
      </c>
      <c r="Q77" s="300">
        <f t="shared" si="9"/>
        <v>172.58064516129033</v>
      </c>
      <c r="R77" s="300">
        <f t="shared" si="10"/>
        <v>206.45161290322579</v>
      </c>
      <c r="S77" s="300">
        <f t="shared" si="11"/>
        <v>188.70967741935485</v>
      </c>
      <c r="T77" s="300">
        <f t="shared" si="12"/>
        <v>169.35483870967741</v>
      </c>
      <c r="U77" s="300">
        <f t="shared" si="13"/>
        <v>100</v>
      </c>
      <c r="V77" s="300">
        <f t="shared" si="14"/>
        <v>109.6774193548387</v>
      </c>
      <c r="W77" s="300">
        <f t="shared" si="15"/>
        <v>116.12903225806451</v>
      </c>
      <c r="X77" s="208"/>
      <c r="Y77" s="208"/>
      <c r="Z77" s="208"/>
      <c r="AA77" s="234">
        <v>7</v>
      </c>
      <c r="AB77" s="304">
        <f t="shared" si="16"/>
        <v>0</v>
      </c>
      <c r="AC77" s="304">
        <f t="shared" si="17"/>
        <v>15.844006118728753</v>
      </c>
      <c r="AD77" s="304">
        <f t="shared" si="18"/>
        <v>53.501734185148592</v>
      </c>
      <c r="AE77" s="304">
        <f t="shared" si="19"/>
        <v>85.415876169477855</v>
      </c>
      <c r="AF77" s="304">
        <f t="shared" si="20"/>
        <v>113.5947842178476</v>
      </c>
      <c r="AG77" s="304">
        <f t="shared" si="21"/>
        <v>119.89404386241863</v>
      </c>
      <c r="AH77" s="304">
        <f t="shared" si="22"/>
        <v>124.62960228015979</v>
      </c>
      <c r="AI77" s="304">
        <f t="shared" si="23"/>
        <v>41.91436967092281</v>
      </c>
      <c r="AJ77" s="304">
        <f t="shared" si="24"/>
        <v>67.194034817728024</v>
      </c>
      <c r="AK77" s="304">
        <f t="shared" si="25"/>
        <v>31.754934566147625</v>
      </c>
      <c r="AL77" s="304">
        <f t="shared" si="26"/>
        <v>3.0560400345906995</v>
      </c>
      <c r="AM77" s="304">
        <f t="shared" si="27"/>
        <v>0</v>
      </c>
      <c r="AN77" s="248"/>
    </row>
    <row r="78" spans="1:40" ht="13.5" thickBot="1">
      <c r="A78" s="250"/>
      <c r="B78" s="276"/>
      <c r="C78" s="457"/>
      <c r="D78" s="276"/>
      <c r="E78" s="208"/>
      <c r="F78" s="208"/>
      <c r="G78" s="208"/>
      <c r="H78" s="202"/>
      <c r="I78" s="202"/>
      <c r="J78" s="223"/>
      <c r="K78" s="230">
        <v>8</v>
      </c>
      <c r="L78" s="300">
        <f t="shared" si="4"/>
        <v>139.35483870967741</v>
      </c>
      <c r="M78" s="300">
        <f t="shared" si="5"/>
        <v>112.25806451612904</v>
      </c>
      <c r="N78" s="300">
        <f t="shared" si="6"/>
        <v>123.87096774193549</v>
      </c>
      <c r="O78" s="300">
        <f t="shared" si="7"/>
        <v>129.67741935483872</v>
      </c>
      <c r="P78" s="300">
        <f t="shared" si="8"/>
        <v>154.83870967741936</v>
      </c>
      <c r="Q78" s="300">
        <f t="shared" si="9"/>
        <v>207.09677419354838</v>
      </c>
      <c r="R78" s="300">
        <f t="shared" si="10"/>
        <v>247.74193548387098</v>
      </c>
      <c r="S78" s="300">
        <f t="shared" si="11"/>
        <v>226.45161290322579</v>
      </c>
      <c r="T78" s="300">
        <f t="shared" si="12"/>
        <v>203.2258064516129</v>
      </c>
      <c r="U78" s="300">
        <f t="shared" si="13"/>
        <v>120</v>
      </c>
      <c r="V78" s="300">
        <f t="shared" si="14"/>
        <v>131.61290322580646</v>
      </c>
      <c r="W78" s="300">
        <f t="shared" si="15"/>
        <v>139.35483870967741</v>
      </c>
      <c r="X78" s="208"/>
      <c r="Y78" s="208"/>
      <c r="Z78" s="208"/>
      <c r="AA78" s="234">
        <v>8</v>
      </c>
      <c r="AB78" s="304">
        <f t="shared" si="16"/>
        <v>33.065877072707735</v>
      </c>
      <c r="AC78" s="304">
        <f t="shared" si="17"/>
        <v>53.196421145503045</v>
      </c>
      <c r="AD78" s="304">
        <f t="shared" si="18"/>
        <v>93.662275658799302</v>
      </c>
      <c r="AE78" s="304">
        <f t="shared" si="19"/>
        <v>122.85640186370136</v>
      </c>
      <c r="AF78" s="304">
        <f t="shared" si="20"/>
        <v>148.62755607545643</v>
      </c>
      <c r="AG78" s="304">
        <f t="shared" si="21"/>
        <v>154.88564022381138</v>
      </c>
      <c r="AH78" s="304">
        <f t="shared" si="22"/>
        <v>167.12804941174178</v>
      </c>
      <c r="AI78" s="304">
        <f t="shared" si="23"/>
        <v>84.590954834396413</v>
      </c>
      <c r="AJ78" s="304">
        <f t="shared" si="24"/>
        <v>110.5402006715312</v>
      </c>
      <c r="AK78" s="304">
        <f t="shared" si="25"/>
        <v>81.39645406364977</v>
      </c>
      <c r="AL78" s="304">
        <f t="shared" si="26"/>
        <v>40.131340168982433</v>
      </c>
      <c r="AM78" s="304">
        <f t="shared" si="27"/>
        <v>25.263847063985438</v>
      </c>
      <c r="AN78" s="248"/>
    </row>
    <row r="79" spans="1:40" ht="13.5" thickBot="1">
      <c r="A79" s="250"/>
      <c r="B79" s="276"/>
      <c r="C79" s="457"/>
      <c r="D79" s="208"/>
      <c r="E79" s="208"/>
      <c r="F79" s="208"/>
      <c r="G79" s="208"/>
      <c r="H79" s="202"/>
      <c r="I79" s="202"/>
      <c r="J79" s="223"/>
      <c r="K79" s="230">
        <v>9</v>
      </c>
      <c r="L79" s="300">
        <f t="shared" si="4"/>
        <v>209.03225806451613</v>
      </c>
      <c r="M79" s="300">
        <f t="shared" si="5"/>
        <v>168.38709677419354</v>
      </c>
      <c r="N79" s="300">
        <f t="shared" si="6"/>
        <v>185.80645161290323</v>
      </c>
      <c r="O79" s="300">
        <f t="shared" si="7"/>
        <v>194.51612903225808</v>
      </c>
      <c r="P79" s="300">
        <f t="shared" si="8"/>
        <v>232.25806451612902</v>
      </c>
      <c r="Q79" s="300">
        <f t="shared" si="9"/>
        <v>310.64516129032256</v>
      </c>
      <c r="R79" s="300">
        <f t="shared" si="10"/>
        <v>371.61290322580646</v>
      </c>
      <c r="S79" s="300">
        <f t="shared" si="11"/>
        <v>339.67741935483872</v>
      </c>
      <c r="T79" s="300">
        <f t="shared" si="12"/>
        <v>304.83870967741933</v>
      </c>
      <c r="U79" s="300">
        <f t="shared" si="13"/>
        <v>180</v>
      </c>
      <c r="V79" s="300">
        <f t="shared" si="14"/>
        <v>197.41935483870967</v>
      </c>
      <c r="W79" s="300">
        <f t="shared" si="15"/>
        <v>209.03225806451613</v>
      </c>
      <c r="X79" s="208"/>
      <c r="Y79" s="208"/>
      <c r="Z79" s="208"/>
      <c r="AA79" s="234">
        <v>9</v>
      </c>
      <c r="AB79" s="304">
        <f t="shared" si="16"/>
        <v>56.804415730856221</v>
      </c>
      <c r="AC79" s="304">
        <f t="shared" si="17"/>
        <v>73.968514886060078</v>
      </c>
      <c r="AD79" s="304">
        <f t="shared" si="18"/>
        <v>121.44345383647928</v>
      </c>
      <c r="AE79" s="304">
        <f t="shared" si="19"/>
        <v>151.15796434724606</v>
      </c>
      <c r="AF79" s="304">
        <f t="shared" si="20"/>
        <v>177.41566099462918</v>
      </c>
      <c r="AG79" s="304">
        <f t="shared" si="21"/>
        <v>184.59434092299045</v>
      </c>
      <c r="AH79" s="304">
        <f t="shared" si="22"/>
        <v>203.00981369314511</v>
      </c>
      <c r="AI79" s="304">
        <f t="shared" si="23"/>
        <v>134.381213400311</v>
      </c>
      <c r="AJ79" s="304">
        <f t="shared" si="24"/>
        <v>142.17319763826191</v>
      </c>
      <c r="AK79" s="304">
        <f t="shared" si="25"/>
        <v>112.64263479843204</v>
      </c>
      <c r="AL79" s="304">
        <f t="shared" si="26"/>
        <v>64.276366742882459</v>
      </c>
      <c r="AM79" s="304">
        <f t="shared" si="27"/>
        <v>53.967340613082534</v>
      </c>
      <c r="AN79" s="248"/>
    </row>
    <row r="80" spans="1:40" ht="13.5" thickBot="1">
      <c r="A80" s="250"/>
      <c r="B80" s="541"/>
      <c r="C80" s="541"/>
      <c r="D80" s="541"/>
      <c r="E80" s="208"/>
      <c r="F80" s="208"/>
      <c r="G80" s="208"/>
      <c r="H80" s="202"/>
      <c r="I80" s="202"/>
      <c r="J80" s="223"/>
      <c r="K80" s="230">
        <v>10</v>
      </c>
      <c r="L80" s="300">
        <f t="shared" si="4"/>
        <v>92.903225806451616</v>
      </c>
      <c r="M80" s="300">
        <f t="shared" si="5"/>
        <v>74.838709677419359</v>
      </c>
      <c r="N80" s="300">
        <f t="shared" si="6"/>
        <v>82.58064516129032</v>
      </c>
      <c r="O80" s="300">
        <f t="shared" si="7"/>
        <v>86.451612903225808</v>
      </c>
      <c r="P80" s="300">
        <f t="shared" si="8"/>
        <v>103.2258064516129</v>
      </c>
      <c r="Q80" s="300">
        <f t="shared" si="9"/>
        <v>138.06451612903226</v>
      </c>
      <c r="R80" s="300">
        <f t="shared" si="10"/>
        <v>165.16129032258064</v>
      </c>
      <c r="S80" s="300">
        <f t="shared" si="11"/>
        <v>150.96774193548387</v>
      </c>
      <c r="T80" s="300">
        <f t="shared" si="12"/>
        <v>135.48387096774192</v>
      </c>
      <c r="U80" s="300">
        <f t="shared" si="13"/>
        <v>80</v>
      </c>
      <c r="V80" s="300">
        <f t="shared" si="14"/>
        <v>87.741935483870961</v>
      </c>
      <c r="W80" s="300">
        <f t="shared" si="15"/>
        <v>92.903225806451616</v>
      </c>
      <c r="X80" s="208"/>
      <c r="Y80" s="208"/>
      <c r="Z80" s="208"/>
      <c r="AA80" s="234">
        <v>10</v>
      </c>
      <c r="AB80" s="304">
        <f t="shared" si="16"/>
        <v>68.698359217764732</v>
      </c>
      <c r="AC80" s="304">
        <f t="shared" si="17"/>
        <v>87.433620895915865</v>
      </c>
      <c r="AD80" s="304">
        <f t="shared" si="18"/>
        <v>142.60211088861178</v>
      </c>
      <c r="AE80" s="304">
        <f t="shared" si="19"/>
        <v>173.73634026536394</v>
      </c>
      <c r="AF80" s="304">
        <f t="shared" si="20"/>
        <v>200.39477945408368</v>
      </c>
      <c r="AG80" s="304">
        <f t="shared" si="21"/>
        <v>208.30829342384632</v>
      </c>
      <c r="AH80" s="304">
        <f t="shared" si="22"/>
        <v>231.6512027068228</v>
      </c>
      <c r="AI80" s="304">
        <f t="shared" si="23"/>
        <v>178.85692421543038</v>
      </c>
      <c r="AJ80" s="304">
        <f t="shared" si="24"/>
        <v>166.95349866396805</v>
      </c>
      <c r="AK80" s="304">
        <f t="shared" si="25"/>
        <v>134.76716210431124</v>
      </c>
      <c r="AL80" s="304">
        <f t="shared" si="26"/>
        <v>77.713077801689522</v>
      </c>
      <c r="AM80" s="304">
        <f t="shared" si="27"/>
        <v>66.165835928952504</v>
      </c>
      <c r="AN80" s="248"/>
    </row>
    <row r="81" spans="1:40" ht="13.5" thickBot="1">
      <c r="A81" s="250"/>
      <c r="B81" s="276"/>
      <c r="C81" s="457"/>
      <c r="D81" s="276"/>
      <c r="E81" s="208"/>
      <c r="F81" s="208"/>
      <c r="G81" s="208"/>
      <c r="H81" s="202"/>
      <c r="I81" s="202"/>
      <c r="J81" s="223"/>
      <c r="K81" s="230">
        <v>11</v>
      </c>
      <c r="L81" s="300">
        <f t="shared" si="4"/>
        <v>69.677419354838705</v>
      </c>
      <c r="M81" s="300">
        <f t="shared" si="5"/>
        <v>56.12903225806452</v>
      </c>
      <c r="N81" s="300">
        <f t="shared" si="6"/>
        <v>61.935483870967744</v>
      </c>
      <c r="O81" s="300">
        <f t="shared" si="7"/>
        <v>64.838709677419359</v>
      </c>
      <c r="P81" s="300">
        <f t="shared" si="8"/>
        <v>77.41935483870968</v>
      </c>
      <c r="Q81" s="300">
        <f t="shared" si="9"/>
        <v>103.54838709677419</v>
      </c>
      <c r="R81" s="300">
        <f t="shared" si="10"/>
        <v>123.87096774193549</v>
      </c>
      <c r="S81" s="300">
        <f t="shared" si="11"/>
        <v>113.2258064516129</v>
      </c>
      <c r="T81" s="300">
        <f t="shared" si="12"/>
        <v>101.61290322580645</v>
      </c>
      <c r="U81" s="300">
        <f t="shared" si="13"/>
        <v>60</v>
      </c>
      <c r="V81" s="300">
        <f t="shared" si="14"/>
        <v>65.806451612903231</v>
      </c>
      <c r="W81" s="300">
        <f t="shared" si="15"/>
        <v>69.677419354838705</v>
      </c>
      <c r="X81" s="208"/>
      <c r="Y81" s="208"/>
      <c r="Z81" s="208"/>
      <c r="AA81" s="234">
        <v>11</v>
      </c>
      <c r="AB81" s="304">
        <f t="shared" si="16"/>
        <v>76.503702624422075</v>
      </c>
      <c r="AC81" s="304">
        <f t="shared" si="17"/>
        <v>96.57720230667843</v>
      </c>
      <c r="AD81" s="304">
        <f t="shared" si="18"/>
        <v>156.97005594281126</v>
      </c>
      <c r="AE81" s="304">
        <f t="shared" si="19"/>
        <v>189.06835608306363</v>
      </c>
      <c r="AF81" s="304">
        <f t="shared" si="20"/>
        <v>215.99892250559677</v>
      </c>
      <c r="AG81" s="304">
        <f t="shared" si="21"/>
        <v>224.41143105260485</v>
      </c>
      <c r="AH81" s="304">
        <f t="shared" si="22"/>
        <v>251.10035312362572</v>
      </c>
      <c r="AI81" s="304">
        <f t="shared" si="23"/>
        <v>214.98714108729135</v>
      </c>
      <c r="AJ81" s="304">
        <f t="shared" si="24"/>
        <v>183.78074827090774</v>
      </c>
      <c r="AK81" s="304">
        <f t="shared" si="25"/>
        <v>149.79098861172042</v>
      </c>
      <c r="AL81" s="304">
        <f t="shared" si="26"/>
        <v>86.702265651780536</v>
      </c>
      <c r="AM81" s="304">
        <f t="shared" si="27"/>
        <v>73.932944746553588</v>
      </c>
      <c r="AN81" s="248"/>
    </row>
    <row r="82" spans="1:40" ht="13.5" thickBot="1">
      <c r="A82" s="250"/>
      <c r="B82" s="276"/>
      <c r="C82" s="457"/>
      <c r="D82" s="276"/>
      <c r="E82" s="208"/>
      <c r="F82" s="208"/>
      <c r="G82" s="208"/>
      <c r="H82" s="202"/>
      <c r="I82" s="202"/>
      <c r="J82" s="223"/>
      <c r="K82" s="230">
        <v>12</v>
      </c>
      <c r="L82" s="300">
        <f t="shared" si="4"/>
        <v>69.677419354838705</v>
      </c>
      <c r="M82" s="300">
        <f t="shared" si="5"/>
        <v>56.12903225806452</v>
      </c>
      <c r="N82" s="300">
        <f t="shared" si="6"/>
        <v>61.935483870967744</v>
      </c>
      <c r="O82" s="300">
        <f t="shared" si="7"/>
        <v>64.838709677419359</v>
      </c>
      <c r="P82" s="300">
        <f t="shared" si="8"/>
        <v>77.41935483870968</v>
      </c>
      <c r="Q82" s="300">
        <f t="shared" si="9"/>
        <v>103.54838709677419</v>
      </c>
      <c r="R82" s="300">
        <f t="shared" si="10"/>
        <v>123.87096774193549</v>
      </c>
      <c r="S82" s="300">
        <f t="shared" si="11"/>
        <v>113.2258064516129</v>
      </c>
      <c r="T82" s="300">
        <f t="shared" si="12"/>
        <v>101.61290322580645</v>
      </c>
      <c r="U82" s="300">
        <f t="shared" si="13"/>
        <v>60</v>
      </c>
      <c r="V82" s="300">
        <f t="shared" si="14"/>
        <v>65.806451612903231</v>
      </c>
      <c r="W82" s="300">
        <f t="shared" si="15"/>
        <v>69.677419354838705</v>
      </c>
      <c r="X82" s="208"/>
      <c r="Y82" s="208"/>
      <c r="Z82" s="208"/>
      <c r="AA82" s="234">
        <v>12</v>
      </c>
      <c r="AB82" s="304">
        <f t="shared" si="16"/>
        <v>80.08809068606304</v>
      </c>
      <c r="AC82" s="304">
        <f t="shared" si="17"/>
        <v>100.77613915568702</v>
      </c>
      <c r="AD82" s="304">
        <f t="shared" si="18"/>
        <v>163.5681372877859</v>
      </c>
      <c r="AE82" s="304">
        <f t="shared" si="19"/>
        <v>196.10916025972296</v>
      </c>
      <c r="AF82" s="304">
        <f t="shared" si="20"/>
        <v>223.16469358727358</v>
      </c>
      <c r="AG82" s="304">
        <f t="shared" si="21"/>
        <v>231.80635159155946</v>
      </c>
      <c r="AH82" s="304">
        <f t="shared" si="22"/>
        <v>260.03183748388955</v>
      </c>
      <c r="AI82" s="304">
        <f t="shared" si="23"/>
        <v>240.30964944408316</v>
      </c>
      <c r="AJ82" s="304">
        <f t="shared" si="24"/>
        <v>191.50819720671285</v>
      </c>
      <c r="AK82" s="304">
        <f t="shared" si="25"/>
        <v>156.69026537222689</v>
      </c>
      <c r="AL82" s="304">
        <f t="shared" si="26"/>
        <v>90.830301528617525</v>
      </c>
      <c r="AM82" s="304">
        <f t="shared" si="27"/>
        <v>77.4997746307494</v>
      </c>
      <c r="AN82" s="248"/>
    </row>
    <row r="83" spans="1:40" ht="13.5" thickBot="1">
      <c r="A83" s="250"/>
      <c r="B83" s="276"/>
      <c r="C83" s="457"/>
      <c r="D83" s="276"/>
      <c r="E83" s="208"/>
      <c r="F83" s="208"/>
      <c r="G83" s="208"/>
      <c r="H83" s="202"/>
      <c r="I83" s="202"/>
      <c r="J83" s="223"/>
      <c r="K83" s="230">
        <v>13</v>
      </c>
      <c r="L83" s="300">
        <f t="shared" si="4"/>
        <v>69.677419354838705</v>
      </c>
      <c r="M83" s="300">
        <f t="shared" si="5"/>
        <v>56.12903225806452</v>
      </c>
      <c r="N83" s="300">
        <f t="shared" si="6"/>
        <v>61.935483870967744</v>
      </c>
      <c r="O83" s="300">
        <f t="shared" si="7"/>
        <v>64.838709677419359</v>
      </c>
      <c r="P83" s="300">
        <f t="shared" si="8"/>
        <v>77.41935483870968</v>
      </c>
      <c r="Q83" s="300">
        <f t="shared" si="9"/>
        <v>103.54838709677419</v>
      </c>
      <c r="R83" s="300">
        <f t="shared" si="10"/>
        <v>123.87096774193549</v>
      </c>
      <c r="S83" s="300">
        <f t="shared" si="11"/>
        <v>113.2258064516129</v>
      </c>
      <c r="T83" s="300">
        <f t="shared" si="12"/>
        <v>101.61290322580645</v>
      </c>
      <c r="U83" s="300">
        <f t="shared" si="13"/>
        <v>60</v>
      </c>
      <c r="V83" s="300">
        <f t="shared" si="14"/>
        <v>65.806451612903231</v>
      </c>
      <c r="W83" s="300">
        <f t="shared" si="15"/>
        <v>69.677419354838705</v>
      </c>
      <c r="X83" s="208"/>
      <c r="Y83" s="208"/>
      <c r="Z83" s="208"/>
      <c r="AA83" s="234">
        <v>13</v>
      </c>
      <c r="AB83" s="304">
        <f t="shared" si="16"/>
        <v>79.207253279768238</v>
      </c>
      <c r="AC83" s="304">
        <f t="shared" si="17"/>
        <v>99.74428083575296</v>
      </c>
      <c r="AD83" s="304">
        <f t="shared" si="18"/>
        <v>161.94670658372061</v>
      </c>
      <c r="AE83" s="304">
        <f t="shared" si="19"/>
        <v>194.37893362618172</v>
      </c>
      <c r="AF83" s="304">
        <f t="shared" si="20"/>
        <v>221.40375724189445</v>
      </c>
      <c r="AG83" s="304">
        <f t="shared" si="21"/>
        <v>229.98910342666434</v>
      </c>
      <c r="AH83" s="304">
        <f t="shared" si="22"/>
        <v>257.8369898884381</v>
      </c>
      <c r="AI83" s="304">
        <f t="shared" si="23"/>
        <v>253.09876218871406</v>
      </c>
      <c r="AJ83" s="304">
        <f t="shared" si="24"/>
        <v>189.60923259662147</v>
      </c>
      <c r="AK83" s="304">
        <f t="shared" si="25"/>
        <v>154.99481807619594</v>
      </c>
      <c r="AL83" s="304">
        <f t="shared" si="26"/>
        <v>89.815866609095892</v>
      </c>
      <c r="AM83" s="304">
        <f t="shared" si="27"/>
        <v>76.623252019397</v>
      </c>
      <c r="AN83" s="248"/>
    </row>
    <row r="84" spans="1:40" ht="13.5" thickBot="1">
      <c r="A84" s="250"/>
      <c r="B84" s="276"/>
      <c r="C84" s="457"/>
      <c r="D84" s="276"/>
      <c r="E84" s="208"/>
      <c r="F84" s="208"/>
      <c r="G84" s="208"/>
      <c r="H84" s="202"/>
      <c r="I84" s="202"/>
      <c r="J84" s="223"/>
      <c r="K84" s="230">
        <v>14</v>
      </c>
      <c r="L84" s="300">
        <f t="shared" si="4"/>
        <v>69.677419354838705</v>
      </c>
      <c r="M84" s="300">
        <f t="shared" si="5"/>
        <v>56.12903225806452</v>
      </c>
      <c r="N84" s="300">
        <f t="shared" si="6"/>
        <v>61.935483870967744</v>
      </c>
      <c r="O84" s="300">
        <f t="shared" si="7"/>
        <v>64.838709677419359</v>
      </c>
      <c r="P84" s="300">
        <f t="shared" si="8"/>
        <v>77.41935483870968</v>
      </c>
      <c r="Q84" s="300">
        <f t="shared" si="9"/>
        <v>103.54838709677419</v>
      </c>
      <c r="R84" s="300">
        <f t="shared" si="10"/>
        <v>123.87096774193549</v>
      </c>
      <c r="S84" s="300">
        <f t="shared" si="11"/>
        <v>113.2258064516129</v>
      </c>
      <c r="T84" s="300">
        <f t="shared" si="12"/>
        <v>101.61290322580645</v>
      </c>
      <c r="U84" s="300">
        <f t="shared" si="13"/>
        <v>60</v>
      </c>
      <c r="V84" s="300">
        <f t="shared" si="14"/>
        <v>65.806451612903231</v>
      </c>
      <c r="W84" s="300">
        <f t="shared" si="15"/>
        <v>69.677419354838705</v>
      </c>
      <c r="X84" s="208"/>
      <c r="Y84" s="208"/>
      <c r="Z84" s="208"/>
      <c r="AA84" s="234">
        <v>14</v>
      </c>
      <c r="AB84" s="304">
        <f t="shared" si="16"/>
        <v>73.921218019123913</v>
      </c>
      <c r="AC84" s="304">
        <f t="shared" si="17"/>
        <v>93.55194678615328</v>
      </c>
      <c r="AD84" s="304">
        <f t="shared" si="18"/>
        <v>152.21626165355653</v>
      </c>
      <c r="AE84" s="304">
        <f t="shared" si="19"/>
        <v>183.99558826818105</v>
      </c>
      <c r="AF84" s="304">
        <f t="shared" si="20"/>
        <v>210.83611837131204</v>
      </c>
      <c r="AG84" s="304">
        <f t="shared" si="21"/>
        <v>219.08352901721244</v>
      </c>
      <c r="AH84" s="304">
        <f t="shared" si="22"/>
        <v>244.66538557374423</v>
      </c>
      <c r="AI84" s="304">
        <f t="shared" si="23"/>
        <v>252.48292242264574</v>
      </c>
      <c r="AJ84" s="304">
        <f t="shared" si="24"/>
        <v>178.21326574062388</v>
      </c>
      <c r="AK84" s="304">
        <f t="shared" si="25"/>
        <v>144.8201886549931</v>
      </c>
      <c r="AL84" s="304">
        <f t="shared" si="26"/>
        <v>83.728092956548053</v>
      </c>
      <c r="AM84" s="304">
        <f t="shared" si="27"/>
        <v>71.363110479937987</v>
      </c>
      <c r="AN84" s="248"/>
    </row>
    <row r="85" spans="1:40" ht="13.5" thickBot="1">
      <c r="A85" s="250"/>
      <c r="B85" s="276"/>
      <c r="C85" s="457"/>
      <c r="D85" s="276"/>
      <c r="E85" s="208"/>
      <c r="F85" s="208"/>
      <c r="G85" s="208"/>
      <c r="H85" s="202"/>
      <c r="I85" s="202"/>
      <c r="J85" s="223"/>
      <c r="K85" s="230">
        <v>15</v>
      </c>
      <c r="L85" s="300">
        <f t="shared" si="4"/>
        <v>69.677419354838705</v>
      </c>
      <c r="M85" s="300">
        <f t="shared" si="5"/>
        <v>56.12903225806452</v>
      </c>
      <c r="N85" s="300">
        <f t="shared" si="6"/>
        <v>61.935483870967744</v>
      </c>
      <c r="O85" s="300">
        <f t="shared" si="7"/>
        <v>64.838709677419359</v>
      </c>
      <c r="P85" s="300">
        <f t="shared" si="8"/>
        <v>77.41935483870968</v>
      </c>
      <c r="Q85" s="300">
        <f t="shared" si="9"/>
        <v>103.54838709677419</v>
      </c>
      <c r="R85" s="300">
        <f t="shared" si="10"/>
        <v>123.87096774193549</v>
      </c>
      <c r="S85" s="300">
        <f t="shared" si="11"/>
        <v>113.2258064516129</v>
      </c>
      <c r="T85" s="300">
        <f t="shared" si="12"/>
        <v>101.61290322580645</v>
      </c>
      <c r="U85" s="300">
        <f t="shared" si="13"/>
        <v>60</v>
      </c>
      <c r="V85" s="300">
        <f t="shared" si="14"/>
        <v>65.806451612903231</v>
      </c>
      <c r="W85" s="300">
        <f t="shared" si="15"/>
        <v>69.677419354838705</v>
      </c>
      <c r="X85" s="208"/>
      <c r="Y85" s="208"/>
      <c r="Z85" s="208"/>
      <c r="AA85" s="234">
        <v>15</v>
      </c>
      <c r="AB85" s="304">
        <f t="shared" si="16"/>
        <v>64.12885499654459</v>
      </c>
      <c r="AC85" s="304">
        <f t="shared" si="17"/>
        <v>82.62113433905229</v>
      </c>
      <c r="AD85" s="304">
        <f t="shared" si="18"/>
        <v>135.0399162389638</v>
      </c>
      <c r="AE85" s="304">
        <f t="shared" si="19"/>
        <v>165.6667320125791</v>
      </c>
      <c r="AF85" s="304">
        <f t="shared" si="20"/>
        <v>192.18194410070754</v>
      </c>
      <c r="AG85" s="304">
        <f t="shared" si="21"/>
        <v>199.83282523689419</v>
      </c>
      <c r="AH85" s="304">
        <f t="shared" si="22"/>
        <v>221.41464760674899</v>
      </c>
      <c r="AI85" s="304">
        <f t="shared" si="23"/>
        <v>238.50409860821208</v>
      </c>
      <c r="AJ85" s="304">
        <f t="shared" si="24"/>
        <v>158.09691294723063</v>
      </c>
      <c r="AK85" s="304">
        <f t="shared" si="25"/>
        <v>126.85976128930309</v>
      </c>
      <c r="AL85" s="304">
        <f t="shared" si="26"/>
        <v>72.75088904788764</v>
      </c>
      <c r="AM85" s="304">
        <f t="shared" si="27"/>
        <v>61.196042084793305</v>
      </c>
      <c r="AN85" s="248"/>
    </row>
    <row r="86" spans="1:40" ht="13.5" thickBot="1">
      <c r="A86" s="250"/>
      <c r="B86" s="276"/>
      <c r="C86" s="457"/>
      <c r="D86" s="276"/>
      <c r="E86" s="208"/>
      <c r="F86" s="208"/>
      <c r="G86" s="208"/>
      <c r="H86" s="202"/>
      <c r="I86" s="202"/>
      <c r="J86" s="223"/>
      <c r="K86" s="230">
        <v>16</v>
      </c>
      <c r="L86" s="300">
        <f t="shared" si="4"/>
        <v>69.677419354838705</v>
      </c>
      <c r="M86" s="300">
        <f t="shared" si="5"/>
        <v>56.12903225806452</v>
      </c>
      <c r="N86" s="300">
        <f t="shared" si="6"/>
        <v>61.935483870967744</v>
      </c>
      <c r="O86" s="300">
        <f t="shared" si="7"/>
        <v>64.838709677419359</v>
      </c>
      <c r="P86" s="300">
        <f t="shared" si="8"/>
        <v>77.41935483870968</v>
      </c>
      <c r="Q86" s="300">
        <f t="shared" si="9"/>
        <v>103.54838709677419</v>
      </c>
      <c r="R86" s="300">
        <f t="shared" si="10"/>
        <v>123.87096774193549</v>
      </c>
      <c r="S86" s="300">
        <f t="shared" si="11"/>
        <v>113.2258064516129</v>
      </c>
      <c r="T86" s="300">
        <f t="shared" si="12"/>
        <v>101.61290322580645</v>
      </c>
      <c r="U86" s="300">
        <f t="shared" si="13"/>
        <v>60</v>
      </c>
      <c r="V86" s="300">
        <f t="shared" si="14"/>
        <v>65.806451612903231</v>
      </c>
      <c r="W86" s="300">
        <f t="shared" si="15"/>
        <v>69.677419354838705</v>
      </c>
      <c r="X86" s="208"/>
      <c r="Y86" s="208"/>
      <c r="Z86" s="208"/>
      <c r="AA86" s="234">
        <v>16</v>
      </c>
      <c r="AB86" s="304">
        <f t="shared" si="16"/>
        <v>39.854744501781759</v>
      </c>
      <c r="AC86" s="304">
        <f t="shared" si="17"/>
        <v>62.993232411109602</v>
      </c>
      <c r="AD86" s="304">
        <f t="shared" si="18"/>
        <v>110.05581264513177</v>
      </c>
      <c r="AE86" s="304">
        <f t="shared" si="19"/>
        <v>140.62330314442983</v>
      </c>
      <c r="AF86" s="304">
        <f t="shared" si="20"/>
        <v>166.71248557914222</v>
      </c>
      <c r="AG86" s="304">
        <f t="shared" si="21"/>
        <v>173.54889573504607</v>
      </c>
      <c r="AH86" s="304">
        <f t="shared" si="22"/>
        <v>189.66927535624194</v>
      </c>
      <c r="AI86" s="304">
        <f t="shared" si="23"/>
        <v>212.11492448726847</v>
      </c>
      <c r="AJ86" s="304">
        <f t="shared" si="24"/>
        <v>129.92057569505764</v>
      </c>
      <c r="AK86" s="304">
        <f t="shared" si="25"/>
        <v>97.988841483973175</v>
      </c>
      <c r="AL86" s="304">
        <f t="shared" si="26"/>
        <v>48.696005122095102</v>
      </c>
      <c r="AM86" s="304">
        <f t="shared" si="27"/>
        <v>30.493336303516088</v>
      </c>
      <c r="AN86" s="248"/>
    </row>
    <row r="87" spans="1:40" ht="13.5" thickBot="1">
      <c r="A87" s="250"/>
      <c r="B87" s="276"/>
      <c r="C87" s="457"/>
      <c r="D87" s="208"/>
      <c r="E87" s="208"/>
      <c r="F87" s="208"/>
      <c r="G87" s="208"/>
      <c r="H87" s="202"/>
      <c r="I87" s="202"/>
      <c r="J87" s="223"/>
      <c r="K87" s="230">
        <v>17</v>
      </c>
      <c r="L87" s="300">
        <f t="shared" si="4"/>
        <v>92.903225806451616</v>
      </c>
      <c r="M87" s="300">
        <f t="shared" si="5"/>
        <v>74.838709677419359</v>
      </c>
      <c r="N87" s="300">
        <f t="shared" si="6"/>
        <v>82.58064516129032</v>
      </c>
      <c r="O87" s="300">
        <f t="shared" si="7"/>
        <v>86.451612903225808</v>
      </c>
      <c r="P87" s="300">
        <f t="shared" si="8"/>
        <v>103.2258064516129</v>
      </c>
      <c r="Q87" s="300">
        <f t="shared" si="9"/>
        <v>138.06451612903226</v>
      </c>
      <c r="R87" s="300">
        <f t="shared" si="10"/>
        <v>165.16129032258064</v>
      </c>
      <c r="S87" s="300">
        <f t="shared" si="11"/>
        <v>150.96774193548387</v>
      </c>
      <c r="T87" s="300">
        <f t="shared" si="12"/>
        <v>135.48387096774192</v>
      </c>
      <c r="U87" s="300">
        <f t="shared" si="13"/>
        <v>80</v>
      </c>
      <c r="V87" s="300">
        <f t="shared" si="14"/>
        <v>87.741935483870961</v>
      </c>
      <c r="W87" s="300">
        <f t="shared" si="15"/>
        <v>92.903225806451616</v>
      </c>
      <c r="X87" s="208"/>
      <c r="Y87" s="208"/>
      <c r="Z87" s="208"/>
      <c r="AA87" s="234">
        <v>17</v>
      </c>
      <c r="AB87" s="304">
        <f t="shared" si="16"/>
        <v>0</v>
      </c>
      <c r="AC87" s="304">
        <f t="shared" si="17"/>
        <v>20.16821079677792</v>
      </c>
      <c r="AD87" s="304">
        <f t="shared" si="18"/>
        <v>68.561292169744405</v>
      </c>
      <c r="AE87" s="304">
        <f t="shared" si="19"/>
        <v>103.94831905287596</v>
      </c>
      <c r="AF87" s="304">
        <f t="shared" si="20"/>
        <v>133.30730447638092</v>
      </c>
      <c r="AG87" s="304">
        <f t="shared" si="21"/>
        <v>140.45815254262646</v>
      </c>
      <c r="AH87" s="304">
        <f t="shared" si="22"/>
        <v>149.36309509850369</v>
      </c>
      <c r="AI87" s="304">
        <f t="shared" si="23"/>
        <v>167.18011028854613</v>
      </c>
      <c r="AJ87" s="304">
        <f t="shared" si="24"/>
        <v>86.236423715859019</v>
      </c>
      <c r="AK87" s="304">
        <f t="shared" si="25"/>
        <v>42.256563882272495</v>
      </c>
      <c r="AL87" s="304">
        <f t="shared" si="26"/>
        <v>3.9898511100238223</v>
      </c>
      <c r="AM87" s="304">
        <f t="shared" si="27"/>
        <v>0</v>
      </c>
      <c r="AN87" s="248"/>
    </row>
    <row r="88" spans="1:40" ht="13.5" thickBot="1">
      <c r="A88" s="250"/>
      <c r="B88" s="541"/>
      <c r="C88" s="541"/>
      <c r="D88" s="541"/>
      <c r="E88" s="208"/>
      <c r="F88" s="208"/>
      <c r="G88" s="208"/>
      <c r="H88" s="202"/>
      <c r="I88" s="202"/>
      <c r="J88" s="223"/>
      <c r="K88" s="230">
        <v>18</v>
      </c>
      <c r="L88" s="300">
        <f t="shared" si="4"/>
        <v>139.35483870967741</v>
      </c>
      <c r="M88" s="300">
        <f t="shared" si="5"/>
        <v>112.25806451612904</v>
      </c>
      <c r="N88" s="300">
        <f t="shared" si="6"/>
        <v>123.87096774193549</v>
      </c>
      <c r="O88" s="300">
        <f t="shared" si="7"/>
        <v>129.67741935483872</v>
      </c>
      <c r="P88" s="300">
        <f t="shared" si="8"/>
        <v>154.83870967741936</v>
      </c>
      <c r="Q88" s="300">
        <f t="shared" si="9"/>
        <v>207.09677419354838</v>
      </c>
      <c r="R88" s="300">
        <f t="shared" si="10"/>
        <v>247.74193548387098</v>
      </c>
      <c r="S88" s="300">
        <f t="shared" si="11"/>
        <v>226.45161290322579</v>
      </c>
      <c r="T88" s="300">
        <f t="shared" si="12"/>
        <v>203.2258064516129</v>
      </c>
      <c r="U88" s="300">
        <f t="shared" si="13"/>
        <v>120</v>
      </c>
      <c r="V88" s="300">
        <f t="shared" si="14"/>
        <v>131.61290322580646</v>
      </c>
      <c r="W88" s="300">
        <f t="shared" si="15"/>
        <v>139.35483870967741</v>
      </c>
      <c r="X88" s="208"/>
      <c r="Y88" s="208"/>
      <c r="Z88" s="208"/>
      <c r="AA88" s="234">
        <v>18</v>
      </c>
      <c r="AB88" s="304">
        <f t="shared" si="16"/>
        <v>0</v>
      </c>
      <c r="AC88" s="304">
        <f t="shared" si="17"/>
        <v>0</v>
      </c>
      <c r="AD88" s="304">
        <f t="shared" si="18"/>
        <v>10.050818740456734</v>
      </c>
      <c r="AE88" s="304">
        <f t="shared" si="19"/>
        <v>54.025614446749628</v>
      </c>
      <c r="AF88" s="304">
        <f t="shared" si="20"/>
        <v>87.286210826023037</v>
      </c>
      <c r="AG88" s="304">
        <f t="shared" si="21"/>
        <v>95.800460158383444</v>
      </c>
      <c r="AH88" s="304">
        <f t="shared" si="22"/>
        <v>96.150645046684815</v>
      </c>
      <c r="AI88" s="304">
        <f t="shared" si="23"/>
        <v>98.172358687193196</v>
      </c>
      <c r="AJ88" s="304">
        <f t="shared" si="24"/>
        <v>24.08175546819945</v>
      </c>
      <c r="AK88" s="304">
        <f t="shared" si="25"/>
        <v>0</v>
      </c>
      <c r="AL88" s="304">
        <f t="shared" si="26"/>
        <v>0</v>
      </c>
      <c r="AM88" s="304">
        <f t="shared" si="27"/>
        <v>0</v>
      </c>
      <c r="AN88" s="248"/>
    </row>
    <row r="89" spans="1:40" ht="13.5" thickBot="1">
      <c r="A89" s="250"/>
      <c r="B89" s="276"/>
      <c r="C89" s="457"/>
      <c r="D89" s="208"/>
      <c r="E89" s="208"/>
      <c r="F89" s="208"/>
      <c r="G89" s="208"/>
      <c r="H89" s="202"/>
      <c r="I89" s="202"/>
      <c r="J89" s="223"/>
      <c r="K89" s="230">
        <v>19</v>
      </c>
      <c r="L89" s="300">
        <f t="shared" si="4"/>
        <v>209.03225806451613</v>
      </c>
      <c r="M89" s="300">
        <f t="shared" si="5"/>
        <v>168.38709677419354</v>
      </c>
      <c r="N89" s="300">
        <f t="shared" si="6"/>
        <v>185.80645161290323</v>
      </c>
      <c r="O89" s="300">
        <f t="shared" si="7"/>
        <v>194.51612903225808</v>
      </c>
      <c r="P89" s="300">
        <f t="shared" si="8"/>
        <v>232.25806451612902</v>
      </c>
      <c r="Q89" s="300">
        <f t="shared" si="9"/>
        <v>310.64516129032256</v>
      </c>
      <c r="R89" s="300">
        <f t="shared" si="10"/>
        <v>371.61290322580646</v>
      </c>
      <c r="S89" s="300">
        <f t="shared" si="11"/>
        <v>339.67741935483872</v>
      </c>
      <c r="T89" s="300">
        <f t="shared" si="12"/>
        <v>304.83870967741933</v>
      </c>
      <c r="U89" s="300">
        <f t="shared" si="13"/>
        <v>180</v>
      </c>
      <c r="V89" s="300">
        <f t="shared" si="14"/>
        <v>197.41935483870967</v>
      </c>
      <c r="W89" s="300">
        <f t="shared" si="15"/>
        <v>209.03225806451613</v>
      </c>
      <c r="X89" s="208"/>
      <c r="Y89" s="208"/>
      <c r="Z89" s="208"/>
      <c r="AA89" s="234">
        <v>19</v>
      </c>
      <c r="AB89" s="304">
        <f t="shared" si="16"/>
        <v>0</v>
      </c>
      <c r="AC89" s="304">
        <f t="shared" si="17"/>
        <v>0</v>
      </c>
      <c r="AD89" s="304">
        <f t="shared" si="18"/>
        <v>0</v>
      </c>
      <c r="AE89" s="304">
        <f t="shared" si="19"/>
        <v>2.1559094259207359</v>
      </c>
      <c r="AF89" s="304">
        <f t="shared" si="20"/>
        <v>31.210077065227992</v>
      </c>
      <c r="AG89" s="304">
        <f t="shared" si="21"/>
        <v>46.551878653967776</v>
      </c>
      <c r="AH89" s="304">
        <f t="shared" si="22"/>
        <v>39.344627280517663</v>
      </c>
      <c r="AI89" s="304">
        <f t="shared" si="23"/>
        <v>11.820065690258284</v>
      </c>
      <c r="AJ89" s="304">
        <f t="shared" si="24"/>
        <v>0</v>
      </c>
      <c r="AK89" s="304">
        <f t="shared" si="25"/>
        <v>0</v>
      </c>
      <c r="AL89" s="304">
        <f t="shared" si="26"/>
        <v>0</v>
      </c>
      <c r="AM89" s="304">
        <f t="shared" si="27"/>
        <v>0</v>
      </c>
      <c r="AN89" s="248"/>
    </row>
    <row r="90" spans="1:40" ht="13.5" thickBot="1">
      <c r="A90" s="250"/>
      <c r="B90" s="208"/>
      <c r="C90" s="208"/>
      <c r="D90" s="208"/>
      <c r="E90" s="208"/>
      <c r="F90" s="208"/>
      <c r="G90" s="208"/>
      <c r="H90" s="202"/>
      <c r="I90" s="202"/>
      <c r="J90" s="223"/>
      <c r="K90" s="230">
        <v>20</v>
      </c>
      <c r="L90" s="300">
        <f t="shared" si="4"/>
        <v>209.03225806451613</v>
      </c>
      <c r="M90" s="300">
        <f t="shared" si="5"/>
        <v>168.38709677419354</v>
      </c>
      <c r="N90" s="300">
        <f t="shared" si="6"/>
        <v>185.80645161290323</v>
      </c>
      <c r="O90" s="300">
        <f t="shared" si="7"/>
        <v>194.51612903225808</v>
      </c>
      <c r="P90" s="300">
        <f t="shared" si="8"/>
        <v>232.25806451612902</v>
      </c>
      <c r="Q90" s="300">
        <f t="shared" si="9"/>
        <v>310.64516129032256</v>
      </c>
      <c r="R90" s="300">
        <f t="shared" si="10"/>
        <v>371.61290322580646</v>
      </c>
      <c r="S90" s="300">
        <f t="shared" si="11"/>
        <v>339.67741935483872</v>
      </c>
      <c r="T90" s="300">
        <f t="shared" si="12"/>
        <v>304.83870967741933</v>
      </c>
      <c r="U90" s="300">
        <f t="shared" si="13"/>
        <v>180</v>
      </c>
      <c r="V90" s="300">
        <f t="shared" si="14"/>
        <v>197.41935483870967</v>
      </c>
      <c r="W90" s="300">
        <f t="shared" si="15"/>
        <v>209.03225806451613</v>
      </c>
      <c r="X90" s="208"/>
      <c r="Y90" s="208"/>
      <c r="Z90" s="208"/>
      <c r="AA90" s="234">
        <v>20</v>
      </c>
      <c r="AB90" s="304">
        <f t="shared" si="16"/>
        <v>0</v>
      </c>
      <c r="AC90" s="304">
        <f t="shared" si="17"/>
        <v>0</v>
      </c>
      <c r="AD90" s="304">
        <f t="shared" si="18"/>
        <v>0</v>
      </c>
      <c r="AE90" s="304">
        <f t="shared" si="19"/>
        <v>0</v>
      </c>
      <c r="AF90" s="304">
        <f t="shared" si="20"/>
        <v>0</v>
      </c>
      <c r="AG90" s="304">
        <f t="shared" si="21"/>
        <v>0</v>
      </c>
      <c r="AH90" s="304">
        <f t="shared" si="22"/>
        <v>0</v>
      </c>
      <c r="AI90" s="304">
        <f t="shared" si="23"/>
        <v>0</v>
      </c>
      <c r="AJ90" s="304">
        <f t="shared" si="24"/>
        <v>0</v>
      </c>
      <c r="AK90" s="304">
        <f t="shared" si="25"/>
        <v>0</v>
      </c>
      <c r="AL90" s="304">
        <f t="shared" si="26"/>
        <v>0</v>
      </c>
      <c r="AM90" s="304">
        <f t="shared" si="27"/>
        <v>0</v>
      </c>
      <c r="AN90" s="248"/>
    </row>
    <row r="91" spans="1:40" ht="13.5" thickBot="1">
      <c r="A91" s="250"/>
      <c r="B91" s="208"/>
      <c r="C91" s="208"/>
      <c r="D91" s="208"/>
      <c r="E91" s="208"/>
      <c r="F91" s="208"/>
      <c r="G91" s="208"/>
      <c r="H91" s="202"/>
      <c r="I91" s="202"/>
      <c r="J91" s="223"/>
      <c r="K91" s="230">
        <v>21</v>
      </c>
      <c r="L91" s="300">
        <f t="shared" si="4"/>
        <v>116.12903225806451</v>
      </c>
      <c r="M91" s="300">
        <f t="shared" si="5"/>
        <v>93.548387096774192</v>
      </c>
      <c r="N91" s="300">
        <f t="shared" si="6"/>
        <v>103.2258064516129</v>
      </c>
      <c r="O91" s="300">
        <f t="shared" si="7"/>
        <v>108.06451612903226</v>
      </c>
      <c r="P91" s="300">
        <f t="shared" si="8"/>
        <v>129.03225806451613</v>
      </c>
      <c r="Q91" s="300">
        <f t="shared" si="9"/>
        <v>172.58064516129033</v>
      </c>
      <c r="R91" s="300">
        <f t="shared" si="10"/>
        <v>206.45161290322579</v>
      </c>
      <c r="S91" s="300">
        <f t="shared" si="11"/>
        <v>188.70967741935485</v>
      </c>
      <c r="T91" s="300">
        <f t="shared" si="12"/>
        <v>169.35483870967741</v>
      </c>
      <c r="U91" s="300">
        <f t="shared" si="13"/>
        <v>100</v>
      </c>
      <c r="V91" s="300">
        <f t="shared" si="14"/>
        <v>109.6774193548387</v>
      </c>
      <c r="W91" s="300">
        <f t="shared" si="15"/>
        <v>116.12903225806451</v>
      </c>
      <c r="X91" s="208"/>
      <c r="Y91" s="208"/>
      <c r="Z91" s="208"/>
      <c r="AA91" s="234">
        <v>21</v>
      </c>
      <c r="AB91" s="304">
        <f t="shared" si="16"/>
        <v>0</v>
      </c>
      <c r="AC91" s="304">
        <f t="shared" si="17"/>
        <v>0</v>
      </c>
      <c r="AD91" s="304">
        <f t="shared" si="18"/>
        <v>0</v>
      </c>
      <c r="AE91" s="304">
        <f t="shared" si="19"/>
        <v>0</v>
      </c>
      <c r="AF91" s="304">
        <f t="shared" si="20"/>
        <v>0</v>
      </c>
      <c r="AG91" s="304">
        <f t="shared" si="21"/>
        <v>0</v>
      </c>
      <c r="AH91" s="304">
        <f t="shared" si="22"/>
        <v>0</v>
      </c>
      <c r="AI91" s="304">
        <f t="shared" si="23"/>
        <v>0</v>
      </c>
      <c r="AJ91" s="304">
        <f t="shared" si="24"/>
        <v>0</v>
      </c>
      <c r="AK91" s="304">
        <f t="shared" si="25"/>
        <v>0</v>
      </c>
      <c r="AL91" s="304">
        <f t="shared" si="26"/>
        <v>0</v>
      </c>
      <c r="AM91" s="304">
        <f t="shared" si="27"/>
        <v>0</v>
      </c>
      <c r="AN91" s="248"/>
    </row>
    <row r="92" spans="1:40" ht="13.5" thickBot="1">
      <c r="A92" s="208"/>
      <c r="B92" s="208"/>
      <c r="C92" s="208"/>
      <c r="D92" s="208"/>
      <c r="E92" s="208"/>
      <c r="F92" s="208"/>
      <c r="G92" s="208"/>
      <c r="H92" s="202"/>
      <c r="I92" s="202"/>
      <c r="J92" s="223"/>
      <c r="K92" s="230">
        <v>22</v>
      </c>
      <c r="L92" s="300">
        <f t="shared" si="4"/>
        <v>92.903225806451616</v>
      </c>
      <c r="M92" s="300">
        <f t="shared" si="5"/>
        <v>74.838709677419359</v>
      </c>
      <c r="N92" s="300">
        <f t="shared" si="6"/>
        <v>82.58064516129032</v>
      </c>
      <c r="O92" s="300">
        <f t="shared" si="7"/>
        <v>86.451612903225808</v>
      </c>
      <c r="P92" s="300">
        <f t="shared" si="8"/>
        <v>103.2258064516129</v>
      </c>
      <c r="Q92" s="300">
        <f t="shared" si="9"/>
        <v>138.06451612903226</v>
      </c>
      <c r="R92" s="300">
        <f t="shared" si="10"/>
        <v>165.16129032258064</v>
      </c>
      <c r="S92" s="300">
        <f t="shared" si="11"/>
        <v>150.96774193548387</v>
      </c>
      <c r="T92" s="300">
        <f t="shared" si="12"/>
        <v>135.48387096774192</v>
      </c>
      <c r="U92" s="300">
        <f t="shared" si="13"/>
        <v>80</v>
      </c>
      <c r="V92" s="300">
        <f t="shared" si="14"/>
        <v>87.741935483870961</v>
      </c>
      <c r="W92" s="300">
        <f t="shared" si="15"/>
        <v>92.903225806451616</v>
      </c>
      <c r="X92" s="208"/>
      <c r="Y92" s="208"/>
      <c r="Z92" s="208"/>
      <c r="AA92" s="234">
        <v>22</v>
      </c>
      <c r="AB92" s="304">
        <f t="shared" si="16"/>
        <v>0</v>
      </c>
      <c r="AC92" s="304">
        <f t="shared" si="17"/>
        <v>0</v>
      </c>
      <c r="AD92" s="304">
        <f t="shared" si="18"/>
        <v>0</v>
      </c>
      <c r="AE92" s="304">
        <f t="shared" si="19"/>
        <v>0</v>
      </c>
      <c r="AF92" s="304">
        <f t="shared" si="20"/>
        <v>0</v>
      </c>
      <c r="AG92" s="304">
        <f t="shared" si="21"/>
        <v>0</v>
      </c>
      <c r="AH92" s="304">
        <f t="shared" si="22"/>
        <v>0</v>
      </c>
      <c r="AI92" s="304">
        <f t="shared" si="23"/>
        <v>0</v>
      </c>
      <c r="AJ92" s="304">
        <f t="shared" si="24"/>
        <v>0</v>
      </c>
      <c r="AK92" s="304">
        <f t="shared" si="25"/>
        <v>0</v>
      </c>
      <c r="AL92" s="304">
        <f t="shared" si="26"/>
        <v>0</v>
      </c>
      <c r="AM92" s="304">
        <f t="shared" si="27"/>
        <v>0</v>
      </c>
      <c r="AN92" s="248"/>
    </row>
    <row r="93" spans="1:40">
      <c r="A93" s="208"/>
      <c r="B93" s="208"/>
      <c r="C93" s="208"/>
      <c r="D93" s="208"/>
      <c r="E93" s="208"/>
      <c r="F93" s="208"/>
      <c r="G93" s="208"/>
      <c r="H93" s="202"/>
      <c r="I93" s="202"/>
      <c r="J93" s="223"/>
      <c r="K93" s="239">
        <v>23</v>
      </c>
      <c r="L93" s="300">
        <f t="shared" si="4"/>
        <v>69.677419354838705</v>
      </c>
      <c r="M93" s="300">
        <f t="shared" si="5"/>
        <v>56.12903225806452</v>
      </c>
      <c r="N93" s="300">
        <f t="shared" si="6"/>
        <v>61.935483870967744</v>
      </c>
      <c r="O93" s="300">
        <f t="shared" si="7"/>
        <v>64.838709677419359</v>
      </c>
      <c r="P93" s="300">
        <f t="shared" si="8"/>
        <v>77.41935483870968</v>
      </c>
      <c r="Q93" s="300">
        <f t="shared" si="9"/>
        <v>103.54838709677419</v>
      </c>
      <c r="R93" s="300">
        <f t="shared" si="10"/>
        <v>123.87096774193549</v>
      </c>
      <c r="S93" s="300">
        <f t="shared" si="11"/>
        <v>113.2258064516129</v>
      </c>
      <c r="T93" s="300">
        <f t="shared" si="12"/>
        <v>101.61290322580645</v>
      </c>
      <c r="U93" s="300">
        <f t="shared" si="13"/>
        <v>60</v>
      </c>
      <c r="V93" s="300">
        <f t="shared" si="14"/>
        <v>65.806451612903231</v>
      </c>
      <c r="W93" s="300">
        <f t="shared" si="15"/>
        <v>69.677419354838705</v>
      </c>
      <c r="X93" s="208"/>
      <c r="Y93" s="208"/>
      <c r="Z93" s="208"/>
      <c r="AA93" s="234">
        <v>23</v>
      </c>
      <c r="AB93" s="304">
        <f t="shared" si="16"/>
        <v>0</v>
      </c>
      <c r="AC93" s="304">
        <f t="shared" si="17"/>
        <v>0</v>
      </c>
      <c r="AD93" s="304">
        <f t="shared" si="18"/>
        <v>0</v>
      </c>
      <c r="AE93" s="304">
        <f t="shared" si="19"/>
        <v>0</v>
      </c>
      <c r="AF93" s="304">
        <f t="shared" si="20"/>
        <v>0</v>
      </c>
      <c r="AG93" s="304">
        <f t="shared" si="21"/>
        <v>0</v>
      </c>
      <c r="AH93" s="304">
        <f t="shared" si="22"/>
        <v>0</v>
      </c>
      <c r="AI93" s="304">
        <f t="shared" si="23"/>
        <v>0</v>
      </c>
      <c r="AJ93" s="304">
        <f t="shared" si="24"/>
        <v>0</v>
      </c>
      <c r="AK93" s="304">
        <f t="shared" si="25"/>
        <v>0</v>
      </c>
      <c r="AL93" s="304">
        <f t="shared" si="26"/>
        <v>0</v>
      </c>
      <c r="AM93" s="304">
        <f t="shared" si="27"/>
        <v>0</v>
      </c>
      <c r="AN93" s="248"/>
    </row>
    <row r="94" spans="1:40">
      <c r="A94" s="208"/>
      <c r="B94" s="208"/>
      <c r="C94" s="208"/>
      <c r="D94" s="208"/>
      <c r="E94" s="208"/>
      <c r="F94" s="208"/>
      <c r="G94" s="208"/>
      <c r="H94" s="202"/>
      <c r="I94" s="202"/>
      <c r="J94" s="533" t="s">
        <v>232</v>
      </c>
      <c r="K94" s="534"/>
      <c r="L94" s="252">
        <f>SUM(L70:L93)</f>
        <v>2322.5806451612902</v>
      </c>
      <c r="M94" s="252">
        <f t="shared" ref="M94:W94" si="28">SUM(M70:M93)</f>
        <v>1870.9677419354844</v>
      </c>
      <c r="N94" s="252">
        <f t="shared" si="28"/>
        <v>2064.516129032258</v>
      </c>
      <c r="O94" s="252">
        <f t="shared" si="28"/>
        <v>2161.2903225806449</v>
      </c>
      <c r="P94" s="252">
        <f t="shared" si="28"/>
        <v>2580.6451612903224</v>
      </c>
      <c r="Q94" s="252">
        <f t="shared" si="28"/>
        <v>3451.6129032258054</v>
      </c>
      <c r="R94" s="252">
        <f t="shared" si="28"/>
        <v>4129.0322580645161</v>
      </c>
      <c r="S94" s="252">
        <f t="shared" si="28"/>
        <v>3774.1935483870961</v>
      </c>
      <c r="T94" s="252">
        <f t="shared" si="28"/>
        <v>3387.0967741935478</v>
      </c>
      <c r="U94" s="252">
        <f t="shared" si="28"/>
        <v>2000</v>
      </c>
      <c r="V94" s="252">
        <f t="shared" si="28"/>
        <v>2193.5483870967746</v>
      </c>
      <c r="W94" s="252">
        <f t="shared" si="28"/>
        <v>2322.5806451612902</v>
      </c>
      <c r="X94" s="210" t="s">
        <v>233</v>
      </c>
      <c r="Y94" s="216"/>
      <c r="Z94" s="208"/>
      <c r="AA94" s="243"/>
      <c r="AB94" s="212">
        <f>SUM(AB70:AB93)</f>
        <v>572.27251612903217</v>
      </c>
      <c r="AC94" s="212">
        <f t="shared" ref="AC94:AM94" si="29">SUM(AC70:AC93)</f>
        <v>786.87470967741922</v>
      </c>
      <c r="AD94" s="212">
        <f t="shared" si="29"/>
        <v>1377.0307419354838</v>
      </c>
      <c r="AE94" s="212">
        <f t="shared" si="29"/>
        <v>1806.2351290322581</v>
      </c>
      <c r="AF94" s="212">
        <f t="shared" si="29"/>
        <v>2217.5559999999996</v>
      </c>
      <c r="AG94" s="212">
        <f t="shared" si="29"/>
        <v>2342.7406129032261</v>
      </c>
      <c r="AH94" s="212">
        <f t="shared" si="29"/>
        <v>2539.4592903225816</v>
      </c>
      <c r="AI94" s="212">
        <f t="shared" si="29"/>
        <v>2163.9054516129031</v>
      </c>
      <c r="AJ94" s="212">
        <f t="shared" si="29"/>
        <v>1645.283483870968</v>
      </c>
      <c r="AK94" s="212">
        <f t="shared" si="29"/>
        <v>1233.9626129032258</v>
      </c>
      <c r="AL94" s="212">
        <f t="shared" si="29"/>
        <v>661.69009677419365</v>
      </c>
      <c r="AM94" s="212">
        <f t="shared" si="29"/>
        <v>536.50548387096785</v>
      </c>
      <c r="AN94" s="248"/>
    </row>
    <row r="95" spans="1:40">
      <c r="A95" s="208"/>
      <c r="B95" s="208"/>
      <c r="C95" s="208"/>
      <c r="D95" s="208"/>
      <c r="E95" s="208"/>
      <c r="F95" s="208"/>
      <c r="G95" s="208"/>
      <c r="H95" s="202"/>
      <c r="I95" s="202"/>
      <c r="J95" s="536" t="s">
        <v>234</v>
      </c>
      <c r="K95" s="537"/>
      <c r="L95" s="252">
        <f>L94*31</f>
        <v>72000</v>
      </c>
      <c r="M95" s="252">
        <f>M94*28</f>
        <v>52387.09677419356</v>
      </c>
      <c r="N95" s="252">
        <f t="shared" ref="M95:W95" si="30">N94*31</f>
        <v>64000</v>
      </c>
      <c r="O95" s="252">
        <f>O94*30</f>
        <v>64838.709677419349</v>
      </c>
      <c r="P95" s="252">
        <f t="shared" si="30"/>
        <v>80000</v>
      </c>
      <c r="Q95" s="252">
        <f>Q94*30</f>
        <v>103548.38709677417</v>
      </c>
      <c r="R95" s="252">
        <f t="shared" si="30"/>
        <v>128000</v>
      </c>
      <c r="S95" s="252">
        <f t="shared" si="30"/>
        <v>116999.99999999999</v>
      </c>
      <c r="T95" s="252">
        <f>T94*30</f>
        <v>101612.90322580644</v>
      </c>
      <c r="U95" s="252">
        <f t="shared" si="30"/>
        <v>62000</v>
      </c>
      <c r="V95" s="252">
        <f>V94*30</f>
        <v>65806.451612903242</v>
      </c>
      <c r="W95" s="252">
        <f t="shared" si="30"/>
        <v>72000</v>
      </c>
      <c r="X95" s="253">
        <f>SUM(L95:W95)</f>
        <v>983193.54838709685</v>
      </c>
      <c r="Y95" s="254"/>
      <c r="Z95" s="208"/>
      <c r="AA95" s="246" t="s">
        <v>235</v>
      </c>
      <c r="AB95" s="255">
        <f>SUM(AB70:AB93)*31</f>
        <v>17740.447999999997</v>
      </c>
      <c r="AC95" s="255">
        <f t="shared" ref="AC95:AM95" si="31">SUM(AC70:AC93)*31</f>
        <v>24393.115999999995</v>
      </c>
      <c r="AD95" s="255">
        <f t="shared" si="31"/>
        <v>42687.952999999994</v>
      </c>
      <c r="AE95" s="255">
        <f t="shared" si="31"/>
        <v>55993.289000000004</v>
      </c>
      <c r="AF95" s="255">
        <f t="shared" si="31"/>
        <v>68744.23599999999</v>
      </c>
      <c r="AG95" s="255">
        <f t="shared" si="31"/>
        <v>72624.959000000003</v>
      </c>
      <c r="AH95" s="255">
        <f t="shared" si="31"/>
        <v>78723.238000000027</v>
      </c>
      <c r="AI95" s="255">
        <f t="shared" si="31"/>
        <v>67081.069000000003</v>
      </c>
      <c r="AJ95" s="255">
        <f t="shared" si="31"/>
        <v>51003.788000000008</v>
      </c>
      <c r="AK95" s="255">
        <f t="shared" si="31"/>
        <v>38252.841</v>
      </c>
      <c r="AL95" s="255">
        <f t="shared" si="31"/>
        <v>20512.393000000004</v>
      </c>
      <c r="AM95" s="255">
        <f t="shared" si="31"/>
        <v>16631.670000000002</v>
      </c>
      <c r="AN95" s="303">
        <f>SUM(AB95:AM95)</f>
        <v>554389</v>
      </c>
    </row>
    <row r="96" spans="1:40">
      <c r="A96" s="208"/>
      <c r="B96" s="208"/>
      <c r="C96" s="208"/>
      <c r="D96" s="208"/>
      <c r="E96" s="208"/>
      <c r="F96" s="208"/>
      <c r="G96" s="208"/>
      <c r="H96" s="202"/>
      <c r="I96" s="202"/>
      <c r="J96" s="256"/>
      <c r="K96" s="256"/>
      <c r="L96" s="257" t="s">
        <v>215</v>
      </c>
      <c r="M96" s="257" t="s">
        <v>216</v>
      </c>
      <c r="N96" s="257" t="s">
        <v>217</v>
      </c>
      <c r="O96" s="257" t="s">
        <v>218</v>
      </c>
      <c r="P96" s="257" t="s">
        <v>219</v>
      </c>
      <c r="Q96" s="257" t="s">
        <v>220</v>
      </c>
      <c r="R96" s="257" t="s">
        <v>221</v>
      </c>
      <c r="S96" s="257" t="s">
        <v>222</v>
      </c>
      <c r="T96" s="257" t="s">
        <v>223</v>
      </c>
      <c r="U96" s="257" t="s">
        <v>224</v>
      </c>
      <c r="V96" s="257" t="s">
        <v>225</v>
      </c>
      <c r="W96" s="257" t="s">
        <v>226</v>
      </c>
      <c r="X96" s="250"/>
      <c r="Y96" s="250"/>
      <c r="Z96" s="208"/>
      <c r="AA96" s="208"/>
      <c r="AB96" s="208"/>
      <c r="AC96" s="208"/>
      <c r="AD96" s="208"/>
      <c r="AE96" s="208"/>
      <c r="AF96" s="208"/>
      <c r="AG96" s="208"/>
      <c r="AH96" s="208"/>
      <c r="AI96" s="208"/>
      <c r="AJ96" s="208"/>
      <c r="AK96" s="208"/>
      <c r="AL96" s="208"/>
      <c r="AM96" s="208"/>
      <c r="AN96" s="248"/>
    </row>
    <row r="97" spans="1:40">
      <c r="A97" s="243"/>
      <c r="B97" s="243"/>
      <c r="C97" s="243"/>
      <c r="D97" s="243"/>
      <c r="E97" s="243"/>
      <c r="F97" s="243"/>
      <c r="G97" s="243"/>
      <c r="H97" s="202"/>
      <c r="I97" s="202"/>
      <c r="J97" s="202"/>
      <c r="K97" s="202"/>
      <c r="L97" s="202"/>
      <c r="M97" s="202"/>
      <c r="N97" s="202"/>
      <c r="O97" s="202"/>
      <c r="P97" s="202"/>
      <c r="Q97" s="202"/>
      <c r="R97" s="202"/>
      <c r="S97" s="202"/>
      <c r="T97" s="202"/>
      <c r="U97" s="202"/>
      <c r="V97" s="202"/>
      <c r="W97" s="202"/>
      <c r="X97" s="202"/>
      <c r="Y97" s="202"/>
      <c r="Z97" s="208"/>
      <c r="AA97" s="208"/>
      <c r="AB97" s="208"/>
      <c r="AC97" s="208"/>
      <c r="AD97" s="208"/>
      <c r="AE97" s="208"/>
      <c r="AF97" s="208"/>
      <c r="AG97" s="208"/>
      <c r="AH97" s="208"/>
      <c r="AI97" s="208"/>
      <c r="AJ97" s="208"/>
      <c r="AK97" s="208"/>
      <c r="AL97" s="208"/>
      <c r="AM97" s="208"/>
      <c r="AN97" s="248"/>
    </row>
    <row r="98" spans="1:40">
      <c r="A98" s="274"/>
      <c r="B98" s="274"/>
      <c r="C98" s="274"/>
      <c r="D98" s="274"/>
      <c r="E98" s="274"/>
      <c r="F98" s="274"/>
      <c r="G98" s="274"/>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row>
    <row r="99" spans="1:40">
      <c r="A99" s="208"/>
      <c r="B99" s="208"/>
      <c r="C99" s="208"/>
      <c r="D99" s="207"/>
      <c r="E99" s="208"/>
      <c r="F99" s="208"/>
      <c r="G99" s="208"/>
      <c r="H99" s="202"/>
      <c r="I99" s="202"/>
      <c r="J99" s="223"/>
      <c r="K99" s="558" t="s">
        <v>236</v>
      </c>
      <c r="L99" s="559"/>
      <c r="M99" s="559"/>
      <c r="N99" s="559"/>
      <c r="O99" s="559"/>
      <c r="P99" s="559"/>
      <c r="Q99" s="559"/>
      <c r="R99" s="559"/>
      <c r="S99" s="559"/>
      <c r="T99" s="559"/>
      <c r="U99" s="559"/>
      <c r="V99" s="559"/>
      <c r="W99" s="560"/>
      <c r="X99" s="208"/>
      <c r="Y99" s="208"/>
      <c r="Z99" s="223"/>
      <c r="AA99" s="540" t="s">
        <v>237</v>
      </c>
      <c r="AB99" s="540"/>
      <c r="AC99" s="540"/>
      <c r="AD99" s="540"/>
      <c r="AE99" s="540"/>
      <c r="AF99" s="540"/>
      <c r="AG99" s="540"/>
      <c r="AH99" s="540"/>
      <c r="AI99" s="540"/>
      <c r="AJ99" s="540"/>
      <c r="AK99" s="540"/>
      <c r="AL99" s="540"/>
      <c r="AM99" s="540"/>
      <c r="AN99" s="248"/>
    </row>
    <row r="100" spans="1:40" ht="24">
      <c r="A100" s="208"/>
      <c r="B100" s="208"/>
      <c r="C100" s="208"/>
      <c r="D100" s="211"/>
      <c r="E100" s="276"/>
      <c r="F100" s="208"/>
      <c r="G100" s="208"/>
      <c r="H100" s="202"/>
      <c r="I100" s="202"/>
      <c r="J100" s="223"/>
      <c r="K100" s="224" t="s">
        <v>214</v>
      </c>
      <c r="L100" s="225" t="s">
        <v>215</v>
      </c>
      <c r="M100" s="225" t="s">
        <v>216</v>
      </c>
      <c r="N100" s="225" t="s">
        <v>217</v>
      </c>
      <c r="O100" s="225" t="s">
        <v>218</v>
      </c>
      <c r="P100" s="225" t="s">
        <v>219</v>
      </c>
      <c r="Q100" s="225" t="s">
        <v>220</v>
      </c>
      <c r="R100" s="225" t="s">
        <v>221</v>
      </c>
      <c r="S100" s="225" t="s">
        <v>222</v>
      </c>
      <c r="T100" s="225" t="s">
        <v>223</v>
      </c>
      <c r="U100" s="225" t="s">
        <v>224</v>
      </c>
      <c r="V100" s="225" t="s">
        <v>225</v>
      </c>
      <c r="W100" s="225" t="s">
        <v>226</v>
      </c>
      <c r="X100" s="208"/>
      <c r="Y100" s="208"/>
      <c r="Z100" s="223"/>
      <c r="AA100" s="224" t="s">
        <v>214</v>
      </c>
      <c r="AB100" s="229" t="s">
        <v>215</v>
      </c>
      <c r="AC100" s="229" t="s">
        <v>216</v>
      </c>
      <c r="AD100" s="229" t="s">
        <v>217</v>
      </c>
      <c r="AE100" s="229" t="s">
        <v>218</v>
      </c>
      <c r="AF100" s="229" t="s">
        <v>219</v>
      </c>
      <c r="AG100" s="229" t="s">
        <v>220</v>
      </c>
      <c r="AH100" s="229" t="s">
        <v>221</v>
      </c>
      <c r="AI100" s="229" t="s">
        <v>222</v>
      </c>
      <c r="AJ100" s="229" t="s">
        <v>223</v>
      </c>
      <c r="AK100" s="229" t="s">
        <v>224</v>
      </c>
      <c r="AL100" s="229" t="s">
        <v>225</v>
      </c>
      <c r="AM100" s="229" t="s">
        <v>226</v>
      </c>
      <c r="AN100" s="248"/>
    </row>
    <row r="101" spans="1:40">
      <c r="A101" s="276"/>
      <c r="B101" s="541"/>
      <c r="C101" s="541"/>
      <c r="D101" s="541"/>
      <c r="E101" s="276"/>
      <c r="F101" s="208"/>
      <c r="G101" s="208"/>
      <c r="H101" s="202"/>
      <c r="I101" s="202"/>
      <c r="J101" s="223"/>
      <c r="K101" s="230">
        <v>0</v>
      </c>
      <c r="L101" s="252">
        <f>IF(AB70&gt;L70,L70,IF(AB70=0,0,AB70))</f>
        <v>0</v>
      </c>
      <c r="M101" s="252">
        <f t="shared" ref="M101:W115" si="32">IF(AC70&gt;M70,M70,IF(AC70=0,0,AC70))</f>
        <v>0</v>
      </c>
      <c r="N101" s="252">
        <f t="shared" si="32"/>
        <v>0</v>
      </c>
      <c r="O101" s="252">
        <f t="shared" si="32"/>
        <v>0</v>
      </c>
      <c r="P101" s="252">
        <f t="shared" si="32"/>
        <v>0</v>
      </c>
      <c r="Q101" s="252">
        <f t="shared" si="32"/>
        <v>0</v>
      </c>
      <c r="R101" s="252">
        <f t="shared" si="32"/>
        <v>0</v>
      </c>
      <c r="S101" s="252">
        <f t="shared" si="32"/>
        <v>0</v>
      </c>
      <c r="T101" s="252">
        <f t="shared" si="32"/>
        <v>0</v>
      </c>
      <c r="U101" s="252">
        <f t="shared" si="32"/>
        <v>0</v>
      </c>
      <c r="V101" s="252">
        <f t="shared" si="32"/>
        <v>0</v>
      </c>
      <c r="W101" s="252">
        <f t="shared" si="32"/>
        <v>0</v>
      </c>
      <c r="X101" s="208"/>
      <c r="Y101" s="208"/>
      <c r="Z101" s="223"/>
      <c r="AA101" s="229">
        <v>0</v>
      </c>
      <c r="AB101" s="252">
        <f>AB70-L101</f>
        <v>0</v>
      </c>
      <c r="AC101" s="252">
        <f t="shared" ref="AC101:AM115" si="33">AC70-M101</f>
        <v>0</v>
      </c>
      <c r="AD101" s="252">
        <f t="shared" si="33"/>
        <v>0</v>
      </c>
      <c r="AE101" s="252">
        <f t="shared" si="33"/>
        <v>0</v>
      </c>
      <c r="AF101" s="252">
        <f t="shared" si="33"/>
        <v>0</v>
      </c>
      <c r="AG101" s="252">
        <f t="shared" si="33"/>
        <v>0</v>
      </c>
      <c r="AH101" s="252">
        <f t="shared" si="33"/>
        <v>0</v>
      </c>
      <c r="AI101" s="252">
        <f t="shared" si="33"/>
        <v>0</v>
      </c>
      <c r="AJ101" s="252">
        <f t="shared" si="33"/>
        <v>0</v>
      </c>
      <c r="AK101" s="252">
        <f t="shared" si="33"/>
        <v>0</v>
      </c>
      <c r="AL101" s="252">
        <f t="shared" si="33"/>
        <v>0</v>
      </c>
      <c r="AM101" s="252">
        <f t="shared" si="33"/>
        <v>0</v>
      </c>
      <c r="AN101" s="248"/>
    </row>
    <row r="102" spans="1:40">
      <c r="A102" s="208"/>
      <c r="B102" s="542"/>
      <c r="C102" s="542"/>
      <c r="D102" s="541"/>
      <c r="E102" s="276"/>
      <c r="F102" s="208"/>
      <c r="G102" s="208"/>
      <c r="H102" s="202"/>
      <c r="I102" s="202"/>
      <c r="J102" s="223"/>
      <c r="K102" s="230">
        <v>1</v>
      </c>
      <c r="L102" s="252">
        <f t="shared" ref="L102:L115" si="34">IF(AB71&gt;L71,L71,IF(AB71=0,0,AB71))</f>
        <v>0</v>
      </c>
      <c r="M102" s="252">
        <f t="shared" si="32"/>
        <v>0</v>
      </c>
      <c r="N102" s="252">
        <f t="shared" si="32"/>
        <v>0</v>
      </c>
      <c r="O102" s="252">
        <f t="shared" si="32"/>
        <v>0</v>
      </c>
      <c r="P102" s="252">
        <f t="shared" si="32"/>
        <v>0</v>
      </c>
      <c r="Q102" s="252">
        <f t="shared" si="32"/>
        <v>0</v>
      </c>
      <c r="R102" s="252">
        <f t="shared" si="32"/>
        <v>0</v>
      </c>
      <c r="S102" s="252">
        <f t="shared" si="32"/>
        <v>0</v>
      </c>
      <c r="T102" s="252">
        <f t="shared" si="32"/>
        <v>0</v>
      </c>
      <c r="U102" s="252">
        <f t="shared" si="32"/>
        <v>0</v>
      </c>
      <c r="V102" s="252">
        <f t="shared" si="32"/>
        <v>0</v>
      </c>
      <c r="W102" s="252">
        <f t="shared" si="32"/>
        <v>0</v>
      </c>
      <c r="X102" s="208"/>
      <c r="Y102" s="208"/>
      <c r="Z102" s="223"/>
      <c r="AA102" s="229">
        <v>1</v>
      </c>
      <c r="AB102" s="252">
        <f t="shared" ref="AB102:AB115" si="35">AB71-L102</f>
        <v>0</v>
      </c>
      <c r="AC102" s="252">
        <f t="shared" si="33"/>
        <v>0</v>
      </c>
      <c r="AD102" s="252">
        <f t="shared" si="33"/>
        <v>0</v>
      </c>
      <c r="AE102" s="252">
        <f t="shared" si="33"/>
        <v>0</v>
      </c>
      <c r="AF102" s="252">
        <f t="shared" si="33"/>
        <v>0</v>
      </c>
      <c r="AG102" s="252">
        <f t="shared" si="33"/>
        <v>0</v>
      </c>
      <c r="AH102" s="252">
        <f t="shared" si="33"/>
        <v>0</v>
      </c>
      <c r="AI102" s="252">
        <f t="shared" si="33"/>
        <v>0</v>
      </c>
      <c r="AJ102" s="252">
        <f t="shared" si="33"/>
        <v>0</v>
      </c>
      <c r="AK102" s="252">
        <f t="shared" si="33"/>
        <v>0</v>
      </c>
      <c r="AL102" s="252">
        <f t="shared" si="33"/>
        <v>0</v>
      </c>
      <c r="AM102" s="252">
        <f t="shared" si="33"/>
        <v>0</v>
      </c>
      <c r="AN102" s="248"/>
    </row>
    <row r="103" spans="1:40">
      <c r="A103" s="208"/>
      <c r="B103" s="208"/>
      <c r="C103" s="208"/>
      <c r="D103" s="208"/>
      <c r="E103" s="543"/>
      <c r="F103" s="543"/>
      <c r="G103" s="276"/>
      <c r="H103" s="202"/>
      <c r="I103" s="202"/>
      <c r="J103" s="223"/>
      <c r="K103" s="230">
        <v>2</v>
      </c>
      <c r="L103" s="252">
        <f t="shared" si="34"/>
        <v>0</v>
      </c>
      <c r="M103" s="252">
        <f t="shared" si="32"/>
        <v>0</v>
      </c>
      <c r="N103" s="252">
        <f t="shared" si="32"/>
        <v>0</v>
      </c>
      <c r="O103" s="252">
        <f t="shared" si="32"/>
        <v>0</v>
      </c>
      <c r="P103" s="252">
        <f t="shared" si="32"/>
        <v>0</v>
      </c>
      <c r="Q103" s="252">
        <f t="shared" si="32"/>
        <v>0</v>
      </c>
      <c r="R103" s="252">
        <f t="shared" si="32"/>
        <v>0</v>
      </c>
      <c r="S103" s="252">
        <f t="shared" si="32"/>
        <v>0</v>
      </c>
      <c r="T103" s="252">
        <f t="shared" si="32"/>
        <v>0</v>
      </c>
      <c r="U103" s="252">
        <f t="shared" si="32"/>
        <v>0</v>
      </c>
      <c r="V103" s="252">
        <f t="shared" si="32"/>
        <v>0</v>
      </c>
      <c r="W103" s="252">
        <f t="shared" si="32"/>
        <v>0</v>
      </c>
      <c r="X103" s="208"/>
      <c r="Y103" s="208"/>
      <c r="Z103" s="223"/>
      <c r="AA103" s="229">
        <v>2</v>
      </c>
      <c r="AB103" s="252">
        <f t="shared" si="35"/>
        <v>0</v>
      </c>
      <c r="AC103" s="252">
        <f t="shared" si="33"/>
        <v>0</v>
      </c>
      <c r="AD103" s="252">
        <f t="shared" si="33"/>
        <v>0</v>
      </c>
      <c r="AE103" s="252">
        <f t="shared" si="33"/>
        <v>0</v>
      </c>
      <c r="AF103" s="252">
        <f t="shared" si="33"/>
        <v>0</v>
      </c>
      <c r="AG103" s="252">
        <f t="shared" si="33"/>
        <v>0</v>
      </c>
      <c r="AH103" s="252">
        <f t="shared" si="33"/>
        <v>0</v>
      </c>
      <c r="AI103" s="252">
        <f t="shared" si="33"/>
        <v>0</v>
      </c>
      <c r="AJ103" s="252">
        <f t="shared" si="33"/>
        <v>0</v>
      </c>
      <c r="AK103" s="252">
        <f t="shared" si="33"/>
        <v>0</v>
      </c>
      <c r="AL103" s="252">
        <f t="shared" si="33"/>
        <v>0</v>
      </c>
      <c r="AM103" s="252">
        <f t="shared" si="33"/>
        <v>0</v>
      </c>
      <c r="AN103" s="248"/>
    </row>
    <row r="104" spans="1:40">
      <c r="A104" s="208"/>
      <c r="B104" s="544"/>
      <c r="C104" s="544"/>
      <c r="D104" s="544"/>
      <c r="E104" s="288"/>
      <c r="F104" s="288"/>
      <c r="G104" s="288"/>
      <c r="H104" s="202"/>
      <c r="I104" s="202"/>
      <c r="J104" s="223"/>
      <c r="K104" s="230">
        <v>3</v>
      </c>
      <c r="L104" s="252">
        <f t="shared" si="34"/>
        <v>0</v>
      </c>
      <c r="M104" s="252">
        <f t="shared" si="32"/>
        <v>0</v>
      </c>
      <c r="N104" s="252">
        <f t="shared" si="32"/>
        <v>0</v>
      </c>
      <c r="O104" s="252">
        <f t="shared" si="32"/>
        <v>0</v>
      </c>
      <c r="P104" s="252">
        <f t="shared" si="32"/>
        <v>0</v>
      </c>
      <c r="Q104" s="252">
        <f t="shared" si="32"/>
        <v>0</v>
      </c>
      <c r="R104" s="252">
        <f t="shared" si="32"/>
        <v>0</v>
      </c>
      <c r="S104" s="252">
        <f t="shared" si="32"/>
        <v>0</v>
      </c>
      <c r="T104" s="252">
        <f t="shared" si="32"/>
        <v>0</v>
      </c>
      <c r="U104" s="252">
        <f t="shared" si="32"/>
        <v>0</v>
      </c>
      <c r="V104" s="252">
        <f t="shared" si="32"/>
        <v>0</v>
      </c>
      <c r="W104" s="252">
        <f t="shared" si="32"/>
        <v>0</v>
      </c>
      <c r="X104" s="208"/>
      <c r="Y104" s="208"/>
      <c r="Z104" s="223"/>
      <c r="AA104" s="229">
        <v>3</v>
      </c>
      <c r="AB104" s="252">
        <f t="shared" si="35"/>
        <v>0</v>
      </c>
      <c r="AC104" s="252">
        <f t="shared" si="33"/>
        <v>0</v>
      </c>
      <c r="AD104" s="252">
        <f t="shared" si="33"/>
        <v>0</v>
      </c>
      <c r="AE104" s="252">
        <f t="shared" si="33"/>
        <v>0</v>
      </c>
      <c r="AF104" s="252">
        <f t="shared" si="33"/>
        <v>0</v>
      </c>
      <c r="AG104" s="252">
        <f t="shared" si="33"/>
        <v>0</v>
      </c>
      <c r="AH104" s="252">
        <f t="shared" si="33"/>
        <v>0</v>
      </c>
      <c r="AI104" s="252">
        <f t="shared" si="33"/>
        <v>0</v>
      </c>
      <c r="AJ104" s="252">
        <f t="shared" si="33"/>
        <v>0</v>
      </c>
      <c r="AK104" s="252">
        <f t="shared" si="33"/>
        <v>0</v>
      </c>
      <c r="AL104" s="252">
        <f t="shared" si="33"/>
        <v>0</v>
      </c>
      <c r="AM104" s="252">
        <f t="shared" si="33"/>
        <v>0</v>
      </c>
      <c r="AN104" s="248"/>
    </row>
    <row r="105" spans="1:40">
      <c r="A105" s="208"/>
      <c r="B105" s="544"/>
      <c r="C105" s="544"/>
      <c r="D105" s="544"/>
      <c r="E105" s="288"/>
      <c r="F105" s="288"/>
      <c r="G105" s="288"/>
      <c r="H105" s="202"/>
      <c r="I105" s="202"/>
      <c r="J105" s="223"/>
      <c r="K105" s="230">
        <v>4</v>
      </c>
      <c r="L105" s="252">
        <f t="shared" si="34"/>
        <v>0</v>
      </c>
      <c r="M105" s="252">
        <f t="shared" si="32"/>
        <v>0</v>
      </c>
      <c r="N105" s="252">
        <f t="shared" si="32"/>
        <v>0</v>
      </c>
      <c r="O105" s="252">
        <f t="shared" si="32"/>
        <v>0</v>
      </c>
      <c r="P105" s="252">
        <f t="shared" si="32"/>
        <v>0</v>
      </c>
      <c r="Q105" s="252">
        <f t="shared" si="32"/>
        <v>0</v>
      </c>
      <c r="R105" s="252">
        <f t="shared" si="32"/>
        <v>0</v>
      </c>
      <c r="S105" s="252">
        <f t="shared" si="32"/>
        <v>0</v>
      </c>
      <c r="T105" s="252">
        <f t="shared" si="32"/>
        <v>0</v>
      </c>
      <c r="U105" s="252">
        <f t="shared" si="32"/>
        <v>0</v>
      </c>
      <c r="V105" s="252">
        <f t="shared" si="32"/>
        <v>0</v>
      </c>
      <c r="W105" s="252">
        <f t="shared" si="32"/>
        <v>0</v>
      </c>
      <c r="X105" s="208"/>
      <c r="Y105" s="208"/>
      <c r="Z105" s="223"/>
      <c r="AA105" s="229">
        <v>4</v>
      </c>
      <c r="AB105" s="252">
        <f t="shared" si="35"/>
        <v>0</v>
      </c>
      <c r="AC105" s="252">
        <f t="shared" si="33"/>
        <v>0</v>
      </c>
      <c r="AD105" s="252">
        <f t="shared" si="33"/>
        <v>0</v>
      </c>
      <c r="AE105" s="252">
        <f t="shared" si="33"/>
        <v>0</v>
      </c>
      <c r="AF105" s="252">
        <f t="shared" si="33"/>
        <v>0</v>
      </c>
      <c r="AG105" s="252">
        <f t="shared" si="33"/>
        <v>0</v>
      </c>
      <c r="AH105" s="252">
        <f t="shared" si="33"/>
        <v>0</v>
      </c>
      <c r="AI105" s="252">
        <f t="shared" si="33"/>
        <v>0</v>
      </c>
      <c r="AJ105" s="252">
        <f t="shared" si="33"/>
        <v>0</v>
      </c>
      <c r="AK105" s="252">
        <f t="shared" si="33"/>
        <v>0</v>
      </c>
      <c r="AL105" s="252">
        <f t="shared" si="33"/>
        <v>0</v>
      </c>
      <c r="AM105" s="252">
        <f t="shared" si="33"/>
        <v>0</v>
      </c>
      <c r="AN105" s="248"/>
    </row>
    <row r="106" spans="1:40">
      <c r="A106" s="276"/>
      <c r="B106" s="544"/>
      <c r="C106" s="544"/>
      <c r="D106" s="544"/>
      <c r="E106" s="288"/>
      <c r="F106" s="288"/>
      <c r="G106" s="288"/>
      <c r="H106" s="202"/>
      <c r="I106" s="202"/>
      <c r="J106" s="223"/>
      <c r="K106" s="230">
        <v>5</v>
      </c>
      <c r="L106" s="252">
        <f t="shared" si="34"/>
        <v>0</v>
      </c>
      <c r="M106" s="252">
        <f t="shared" si="32"/>
        <v>0</v>
      </c>
      <c r="N106" s="252">
        <f t="shared" si="32"/>
        <v>0</v>
      </c>
      <c r="O106" s="252">
        <f t="shared" si="32"/>
        <v>1.966858546459022</v>
      </c>
      <c r="P106" s="252">
        <f t="shared" si="32"/>
        <v>25.78574861378172</v>
      </c>
      <c r="Q106" s="252">
        <f t="shared" si="32"/>
        <v>36.91002567942968</v>
      </c>
      <c r="R106" s="252">
        <f t="shared" si="32"/>
        <v>29.969688910361345</v>
      </c>
      <c r="S106" s="252">
        <f t="shared" si="32"/>
        <v>4.9434814162553788</v>
      </c>
      <c r="T106" s="252">
        <f t="shared" si="32"/>
        <v>0</v>
      </c>
      <c r="U106" s="252">
        <f t="shared" si="32"/>
        <v>0</v>
      </c>
      <c r="V106" s="252">
        <f t="shared" si="32"/>
        <v>0</v>
      </c>
      <c r="W106" s="252">
        <f t="shared" si="32"/>
        <v>0</v>
      </c>
      <c r="X106" s="208"/>
      <c r="Y106" s="208"/>
      <c r="Z106" s="223"/>
      <c r="AA106" s="229">
        <v>5</v>
      </c>
      <c r="AB106" s="252">
        <f t="shared" si="35"/>
        <v>0</v>
      </c>
      <c r="AC106" s="252">
        <f t="shared" si="33"/>
        <v>0</v>
      </c>
      <c r="AD106" s="252">
        <f t="shared" si="33"/>
        <v>0</v>
      </c>
      <c r="AE106" s="252">
        <f t="shared" si="33"/>
        <v>0</v>
      </c>
      <c r="AF106" s="252">
        <f t="shared" si="33"/>
        <v>0</v>
      </c>
      <c r="AG106" s="252">
        <f t="shared" si="33"/>
        <v>0</v>
      </c>
      <c r="AH106" s="252">
        <f t="shared" si="33"/>
        <v>0</v>
      </c>
      <c r="AI106" s="252">
        <f t="shared" si="33"/>
        <v>0</v>
      </c>
      <c r="AJ106" s="252">
        <f t="shared" si="33"/>
        <v>0</v>
      </c>
      <c r="AK106" s="252">
        <f t="shared" si="33"/>
        <v>0</v>
      </c>
      <c r="AL106" s="252">
        <f t="shared" si="33"/>
        <v>0</v>
      </c>
      <c r="AM106" s="252">
        <f t="shared" si="33"/>
        <v>0</v>
      </c>
      <c r="AN106" s="248"/>
    </row>
    <row r="107" spans="1:40">
      <c r="A107" s="208"/>
      <c r="B107" s="544"/>
      <c r="C107" s="544"/>
      <c r="D107" s="544"/>
      <c r="E107" s="288"/>
      <c r="F107" s="288"/>
      <c r="G107" s="288"/>
      <c r="H107" s="202"/>
      <c r="I107" s="202"/>
      <c r="J107" s="223"/>
      <c r="K107" s="230">
        <v>6</v>
      </c>
      <c r="L107" s="252">
        <f t="shared" si="34"/>
        <v>0</v>
      </c>
      <c r="M107" s="252">
        <f t="shared" si="32"/>
        <v>0</v>
      </c>
      <c r="N107" s="252">
        <f t="shared" si="32"/>
        <v>7.4121661042740579</v>
      </c>
      <c r="O107" s="252">
        <f t="shared" si="32"/>
        <v>41.129771520305049</v>
      </c>
      <c r="P107" s="252">
        <f t="shared" si="32"/>
        <v>69.635956890642859</v>
      </c>
      <c r="Q107" s="252">
        <f t="shared" si="32"/>
        <v>76.665641375770605</v>
      </c>
      <c r="R107" s="252">
        <f t="shared" si="32"/>
        <v>73.494076861955207</v>
      </c>
      <c r="S107" s="252">
        <f t="shared" si="32"/>
        <v>30.548475171374982</v>
      </c>
      <c r="T107" s="252">
        <f t="shared" si="32"/>
        <v>16.975440438266027</v>
      </c>
      <c r="U107" s="252">
        <f t="shared" si="32"/>
        <v>0</v>
      </c>
      <c r="V107" s="252">
        <f t="shared" si="32"/>
        <v>0</v>
      </c>
      <c r="W107" s="252">
        <f t="shared" si="32"/>
        <v>0</v>
      </c>
      <c r="X107" s="208"/>
      <c r="Y107" s="208"/>
      <c r="Z107" s="223"/>
      <c r="AA107" s="229">
        <v>6</v>
      </c>
      <c r="AB107" s="252">
        <f t="shared" si="35"/>
        <v>0</v>
      </c>
      <c r="AC107" s="252">
        <f t="shared" si="33"/>
        <v>0</v>
      </c>
      <c r="AD107" s="252">
        <f t="shared" si="33"/>
        <v>0</v>
      </c>
      <c r="AE107" s="252">
        <f t="shared" si="33"/>
        <v>0</v>
      </c>
      <c r="AF107" s="252">
        <f t="shared" si="33"/>
        <v>0</v>
      </c>
      <c r="AG107" s="252">
        <f t="shared" si="33"/>
        <v>0</v>
      </c>
      <c r="AH107" s="252">
        <f t="shared" si="33"/>
        <v>0</v>
      </c>
      <c r="AI107" s="252">
        <f t="shared" si="33"/>
        <v>0</v>
      </c>
      <c r="AJ107" s="252">
        <f t="shared" si="33"/>
        <v>0</v>
      </c>
      <c r="AK107" s="252">
        <f t="shared" si="33"/>
        <v>0</v>
      </c>
      <c r="AL107" s="252">
        <f t="shared" si="33"/>
        <v>0</v>
      </c>
      <c r="AM107" s="252">
        <f t="shared" si="33"/>
        <v>0</v>
      </c>
      <c r="AN107" s="248"/>
    </row>
    <row r="108" spans="1:40">
      <c r="A108" s="208"/>
      <c r="B108" s="544"/>
      <c r="C108" s="544"/>
      <c r="D108" s="544"/>
      <c r="E108" s="288"/>
      <c r="F108" s="288"/>
      <c r="G108" s="288"/>
      <c r="H108" s="202"/>
      <c r="I108" s="202"/>
      <c r="J108" s="223"/>
      <c r="K108" s="230">
        <v>7</v>
      </c>
      <c r="L108" s="252">
        <f t="shared" si="34"/>
        <v>0</v>
      </c>
      <c r="M108" s="252">
        <f t="shared" si="32"/>
        <v>15.844006118728753</v>
      </c>
      <c r="N108" s="252">
        <f t="shared" si="32"/>
        <v>53.501734185148592</v>
      </c>
      <c r="O108" s="252">
        <f t="shared" si="32"/>
        <v>85.415876169477855</v>
      </c>
      <c r="P108" s="252">
        <f t="shared" si="32"/>
        <v>113.5947842178476</v>
      </c>
      <c r="Q108" s="252">
        <f t="shared" si="32"/>
        <v>119.89404386241863</v>
      </c>
      <c r="R108" s="252">
        <f t="shared" si="32"/>
        <v>124.62960228015979</v>
      </c>
      <c r="S108" s="252">
        <f t="shared" si="32"/>
        <v>41.91436967092281</v>
      </c>
      <c r="T108" s="252">
        <f t="shared" si="32"/>
        <v>67.194034817728024</v>
      </c>
      <c r="U108" s="252">
        <f t="shared" si="32"/>
        <v>31.754934566147625</v>
      </c>
      <c r="V108" s="252">
        <f t="shared" si="32"/>
        <v>3.0560400345906995</v>
      </c>
      <c r="W108" s="252">
        <f t="shared" si="32"/>
        <v>0</v>
      </c>
      <c r="X108" s="208"/>
      <c r="Y108" s="208"/>
      <c r="Z108" s="223"/>
      <c r="AA108" s="229">
        <v>7</v>
      </c>
      <c r="AB108" s="252">
        <f t="shared" si="35"/>
        <v>0</v>
      </c>
      <c r="AC108" s="252">
        <f t="shared" si="33"/>
        <v>0</v>
      </c>
      <c r="AD108" s="252">
        <f t="shared" si="33"/>
        <v>0</v>
      </c>
      <c r="AE108" s="252">
        <f t="shared" si="33"/>
        <v>0</v>
      </c>
      <c r="AF108" s="252">
        <f t="shared" si="33"/>
        <v>0</v>
      </c>
      <c r="AG108" s="252">
        <f t="shared" si="33"/>
        <v>0</v>
      </c>
      <c r="AH108" s="252">
        <f t="shared" si="33"/>
        <v>0</v>
      </c>
      <c r="AI108" s="252">
        <f t="shared" si="33"/>
        <v>0</v>
      </c>
      <c r="AJ108" s="252">
        <f t="shared" si="33"/>
        <v>0</v>
      </c>
      <c r="AK108" s="252">
        <f t="shared" si="33"/>
        <v>0</v>
      </c>
      <c r="AL108" s="252">
        <f t="shared" si="33"/>
        <v>0</v>
      </c>
      <c r="AM108" s="252">
        <f t="shared" si="33"/>
        <v>0</v>
      </c>
      <c r="AN108" s="248"/>
    </row>
    <row r="109" spans="1:40">
      <c r="A109" s="208"/>
      <c r="B109" s="544"/>
      <c r="C109" s="544"/>
      <c r="D109" s="544"/>
      <c r="E109" s="288"/>
      <c r="F109" s="288"/>
      <c r="G109" s="288"/>
      <c r="H109" s="202"/>
      <c r="I109" s="202"/>
      <c r="J109" s="223"/>
      <c r="K109" s="230">
        <v>8</v>
      </c>
      <c r="L109" s="252">
        <f t="shared" si="34"/>
        <v>33.065877072707735</v>
      </c>
      <c r="M109" s="252">
        <f t="shared" si="32"/>
        <v>53.196421145503045</v>
      </c>
      <c r="N109" s="252">
        <f t="shared" si="32"/>
        <v>93.662275658799302</v>
      </c>
      <c r="O109" s="252">
        <f t="shared" si="32"/>
        <v>122.85640186370136</v>
      </c>
      <c r="P109" s="252">
        <f t="shared" si="32"/>
        <v>148.62755607545643</v>
      </c>
      <c r="Q109" s="252">
        <f t="shared" si="32"/>
        <v>154.88564022381138</v>
      </c>
      <c r="R109" s="252">
        <f t="shared" si="32"/>
        <v>167.12804941174178</v>
      </c>
      <c r="S109" s="252">
        <f t="shared" si="32"/>
        <v>84.590954834396413</v>
      </c>
      <c r="T109" s="252">
        <f t="shared" si="32"/>
        <v>110.5402006715312</v>
      </c>
      <c r="U109" s="252">
        <f t="shared" si="32"/>
        <v>81.39645406364977</v>
      </c>
      <c r="V109" s="252">
        <f t="shared" si="32"/>
        <v>40.131340168982433</v>
      </c>
      <c r="W109" s="252">
        <f t="shared" si="32"/>
        <v>25.263847063985438</v>
      </c>
      <c r="X109" s="208"/>
      <c r="Y109" s="208"/>
      <c r="Z109" s="223"/>
      <c r="AA109" s="229">
        <v>8</v>
      </c>
      <c r="AB109" s="252">
        <f t="shared" si="35"/>
        <v>0</v>
      </c>
      <c r="AC109" s="252">
        <f t="shared" si="33"/>
        <v>0</v>
      </c>
      <c r="AD109" s="252">
        <f t="shared" si="33"/>
        <v>0</v>
      </c>
      <c r="AE109" s="252">
        <f t="shared" si="33"/>
        <v>0</v>
      </c>
      <c r="AF109" s="252">
        <f t="shared" si="33"/>
        <v>0</v>
      </c>
      <c r="AG109" s="252">
        <f t="shared" si="33"/>
        <v>0</v>
      </c>
      <c r="AH109" s="252">
        <f t="shared" si="33"/>
        <v>0</v>
      </c>
      <c r="AI109" s="252">
        <f t="shared" si="33"/>
        <v>0</v>
      </c>
      <c r="AJ109" s="252">
        <f t="shared" si="33"/>
        <v>0</v>
      </c>
      <c r="AK109" s="252">
        <f t="shared" si="33"/>
        <v>0</v>
      </c>
      <c r="AL109" s="252">
        <f t="shared" si="33"/>
        <v>0</v>
      </c>
      <c r="AM109" s="252">
        <f t="shared" si="33"/>
        <v>0</v>
      </c>
      <c r="AN109" s="248"/>
    </row>
    <row r="110" spans="1:40">
      <c r="A110" s="276"/>
      <c r="B110" s="208"/>
      <c r="C110" s="208"/>
      <c r="D110" s="208"/>
      <c r="E110" s="208"/>
      <c r="F110" s="317"/>
      <c r="G110" s="208"/>
      <c r="H110" s="202"/>
      <c r="I110" s="202"/>
      <c r="J110" s="223"/>
      <c r="K110" s="230">
        <v>9</v>
      </c>
      <c r="L110" s="252">
        <f t="shared" si="34"/>
        <v>56.804415730856221</v>
      </c>
      <c r="M110" s="252">
        <f t="shared" si="32"/>
        <v>73.968514886060078</v>
      </c>
      <c r="N110" s="252">
        <f t="shared" si="32"/>
        <v>121.44345383647928</v>
      </c>
      <c r="O110" s="252">
        <f t="shared" si="32"/>
        <v>151.15796434724606</v>
      </c>
      <c r="P110" s="252">
        <f t="shared" si="32"/>
        <v>177.41566099462918</v>
      </c>
      <c r="Q110" s="252">
        <f t="shared" si="32"/>
        <v>184.59434092299045</v>
      </c>
      <c r="R110" s="252">
        <f t="shared" si="32"/>
        <v>203.00981369314511</v>
      </c>
      <c r="S110" s="252">
        <f t="shared" si="32"/>
        <v>134.381213400311</v>
      </c>
      <c r="T110" s="252">
        <f t="shared" si="32"/>
        <v>142.17319763826191</v>
      </c>
      <c r="U110" s="252">
        <f t="shared" si="32"/>
        <v>112.64263479843204</v>
      </c>
      <c r="V110" s="252">
        <f t="shared" si="32"/>
        <v>64.276366742882459</v>
      </c>
      <c r="W110" s="252">
        <f t="shared" si="32"/>
        <v>53.967340613082534</v>
      </c>
      <c r="X110" s="208"/>
      <c r="Y110" s="208"/>
      <c r="Z110" s="223"/>
      <c r="AA110" s="229">
        <v>9</v>
      </c>
      <c r="AB110" s="252">
        <f t="shared" si="35"/>
        <v>0</v>
      </c>
      <c r="AC110" s="252">
        <f t="shared" si="33"/>
        <v>0</v>
      </c>
      <c r="AD110" s="252">
        <f t="shared" si="33"/>
        <v>0</v>
      </c>
      <c r="AE110" s="252">
        <f t="shared" si="33"/>
        <v>0</v>
      </c>
      <c r="AF110" s="252">
        <f t="shared" si="33"/>
        <v>0</v>
      </c>
      <c r="AG110" s="252">
        <f t="shared" si="33"/>
        <v>0</v>
      </c>
      <c r="AH110" s="252">
        <f t="shared" si="33"/>
        <v>0</v>
      </c>
      <c r="AI110" s="252">
        <f t="shared" si="33"/>
        <v>0</v>
      </c>
      <c r="AJ110" s="252">
        <f t="shared" si="33"/>
        <v>0</v>
      </c>
      <c r="AK110" s="252">
        <f t="shared" si="33"/>
        <v>0</v>
      </c>
      <c r="AL110" s="252">
        <f t="shared" si="33"/>
        <v>0</v>
      </c>
      <c r="AM110" s="252">
        <f t="shared" si="33"/>
        <v>0</v>
      </c>
      <c r="AN110" s="248"/>
    </row>
    <row r="111" spans="1:40">
      <c r="A111" s="208"/>
      <c r="B111" s="208"/>
      <c r="C111" s="208"/>
      <c r="D111" s="276"/>
      <c r="E111" s="208"/>
      <c r="F111" s="208"/>
      <c r="G111" s="208"/>
      <c r="H111" s="202"/>
      <c r="I111" s="202"/>
      <c r="J111" s="223"/>
      <c r="K111" s="230">
        <v>10</v>
      </c>
      <c r="L111" s="252">
        <f t="shared" si="34"/>
        <v>68.698359217764732</v>
      </c>
      <c r="M111" s="252">
        <f t="shared" si="32"/>
        <v>74.838709677419359</v>
      </c>
      <c r="N111" s="252">
        <f t="shared" si="32"/>
        <v>82.58064516129032</v>
      </c>
      <c r="O111" s="252">
        <f t="shared" si="32"/>
        <v>86.451612903225808</v>
      </c>
      <c r="P111" s="252">
        <f t="shared" si="32"/>
        <v>103.2258064516129</v>
      </c>
      <c r="Q111" s="252">
        <f t="shared" si="32"/>
        <v>138.06451612903226</v>
      </c>
      <c r="R111" s="252">
        <f t="shared" si="32"/>
        <v>165.16129032258064</v>
      </c>
      <c r="S111" s="252">
        <f t="shared" si="32"/>
        <v>150.96774193548387</v>
      </c>
      <c r="T111" s="252">
        <f t="shared" si="32"/>
        <v>135.48387096774192</v>
      </c>
      <c r="U111" s="252">
        <f t="shared" si="32"/>
        <v>80</v>
      </c>
      <c r="V111" s="252">
        <f t="shared" si="32"/>
        <v>77.713077801689522</v>
      </c>
      <c r="W111" s="252">
        <f t="shared" si="32"/>
        <v>66.165835928952504</v>
      </c>
      <c r="X111" s="208"/>
      <c r="Y111" s="208"/>
      <c r="Z111" s="223"/>
      <c r="AA111" s="229">
        <v>10</v>
      </c>
      <c r="AB111" s="252">
        <f t="shared" si="35"/>
        <v>0</v>
      </c>
      <c r="AC111" s="252">
        <f t="shared" si="33"/>
        <v>12.594911218496506</v>
      </c>
      <c r="AD111" s="252">
        <f t="shared" si="33"/>
        <v>60.021465727321456</v>
      </c>
      <c r="AE111" s="252">
        <f t="shared" si="33"/>
        <v>87.284727362138128</v>
      </c>
      <c r="AF111" s="252">
        <f t="shared" si="33"/>
        <v>97.168973002470779</v>
      </c>
      <c r="AG111" s="252">
        <f t="shared" si="33"/>
        <v>70.243777294814066</v>
      </c>
      <c r="AH111" s="252">
        <f t="shared" si="33"/>
        <v>66.48991238424216</v>
      </c>
      <c r="AI111" s="252">
        <f t="shared" si="33"/>
        <v>27.88918227994651</v>
      </c>
      <c r="AJ111" s="252">
        <f t="shared" si="33"/>
        <v>31.469627696226127</v>
      </c>
      <c r="AK111" s="252">
        <f t="shared" si="33"/>
        <v>54.76716210431124</v>
      </c>
      <c r="AL111" s="252">
        <f t="shared" si="33"/>
        <v>0</v>
      </c>
      <c r="AM111" s="252">
        <f t="shared" si="33"/>
        <v>0</v>
      </c>
      <c r="AN111" s="248"/>
    </row>
    <row r="112" spans="1:40">
      <c r="A112" s="208"/>
      <c r="B112" s="208"/>
      <c r="C112" s="208"/>
      <c r="D112" s="276"/>
      <c r="E112" s="276"/>
      <c r="F112" s="276"/>
      <c r="G112" s="276"/>
      <c r="H112" s="202"/>
      <c r="I112" s="202"/>
      <c r="J112" s="223"/>
      <c r="K112" s="230">
        <v>11</v>
      </c>
      <c r="L112" s="252">
        <f t="shared" si="34"/>
        <v>69.677419354838705</v>
      </c>
      <c r="M112" s="252">
        <f t="shared" si="32"/>
        <v>56.12903225806452</v>
      </c>
      <c r="N112" s="252">
        <f t="shared" si="32"/>
        <v>61.935483870967744</v>
      </c>
      <c r="O112" s="252">
        <f t="shared" si="32"/>
        <v>64.838709677419359</v>
      </c>
      <c r="P112" s="252">
        <f t="shared" si="32"/>
        <v>77.41935483870968</v>
      </c>
      <c r="Q112" s="252">
        <f t="shared" si="32"/>
        <v>103.54838709677419</v>
      </c>
      <c r="R112" s="252">
        <f t="shared" si="32"/>
        <v>123.87096774193549</v>
      </c>
      <c r="S112" s="252">
        <f t="shared" si="32"/>
        <v>113.2258064516129</v>
      </c>
      <c r="T112" s="252">
        <f t="shared" si="32"/>
        <v>101.61290322580645</v>
      </c>
      <c r="U112" s="252">
        <f t="shared" si="32"/>
        <v>60</v>
      </c>
      <c r="V112" s="252">
        <f t="shared" si="32"/>
        <v>65.806451612903231</v>
      </c>
      <c r="W112" s="252">
        <f t="shared" si="32"/>
        <v>69.677419354838705</v>
      </c>
      <c r="X112" s="208"/>
      <c r="Y112" s="208"/>
      <c r="Z112" s="223"/>
      <c r="AA112" s="229">
        <v>11</v>
      </c>
      <c r="AB112" s="252">
        <f t="shared" si="35"/>
        <v>6.8262832695833708</v>
      </c>
      <c r="AC112" s="252">
        <f t="shared" si="33"/>
        <v>40.44817004861391</v>
      </c>
      <c r="AD112" s="252">
        <f t="shared" si="33"/>
        <v>95.034572071843513</v>
      </c>
      <c r="AE112" s="252">
        <f t="shared" si="33"/>
        <v>124.22964640564427</v>
      </c>
      <c r="AF112" s="252">
        <f t="shared" si="33"/>
        <v>138.5795676668871</v>
      </c>
      <c r="AG112" s="252">
        <f t="shared" si="33"/>
        <v>120.86304395583066</v>
      </c>
      <c r="AH112" s="252">
        <f t="shared" si="33"/>
        <v>127.22938538169024</v>
      </c>
      <c r="AI112" s="252">
        <f t="shared" si="33"/>
        <v>101.76133463567845</v>
      </c>
      <c r="AJ112" s="252">
        <f t="shared" si="33"/>
        <v>82.167845045101288</v>
      </c>
      <c r="AK112" s="252">
        <f t="shared" si="33"/>
        <v>89.790988611720422</v>
      </c>
      <c r="AL112" s="252">
        <f t="shared" si="33"/>
        <v>20.895814038877305</v>
      </c>
      <c r="AM112" s="252">
        <f t="shared" si="33"/>
        <v>4.2555253917148832</v>
      </c>
      <c r="AN112" s="248"/>
    </row>
    <row r="113" spans="1:41">
      <c r="A113" s="208"/>
      <c r="B113" s="208"/>
      <c r="C113" s="208"/>
      <c r="D113" s="208"/>
      <c r="E113" s="208"/>
      <c r="F113" s="208"/>
      <c r="G113" s="208"/>
      <c r="H113" s="202"/>
      <c r="I113" s="202"/>
      <c r="J113" s="223"/>
      <c r="K113" s="230">
        <v>12</v>
      </c>
      <c r="L113" s="252">
        <f t="shared" si="34"/>
        <v>69.677419354838705</v>
      </c>
      <c r="M113" s="252">
        <f t="shared" si="32"/>
        <v>56.12903225806452</v>
      </c>
      <c r="N113" s="252">
        <f t="shared" si="32"/>
        <v>61.935483870967744</v>
      </c>
      <c r="O113" s="252">
        <f t="shared" si="32"/>
        <v>64.838709677419359</v>
      </c>
      <c r="P113" s="252">
        <f t="shared" si="32"/>
        <v>77.41935483870968</v>
      </c>
      <c r="Q113" s="252">
        <f t="shared" si="32"/>
        <v>103.54838709677419</v>
      </c>
      <c r="R113" s="252">
        <f t="shared" si="32"/>
        <v>123.87096774193549</v>
      </c>
      <c r="S113" s="252">
        <f t="shared" si="32"/>
        <v>113.2258064516129</v>
      </c>
      <c r="T113" s="252">
        <f t="shared" si="32"/>
        <v>101.61290322580645</v>
      </c>
      <c r="U113" s="252">
        <f t="shared" si="32"/>
        <v>60</v>
      </c>
      <c r="V113" s="252">
        <f t="shared" si="32"/>
        <v>65.806451612903231</v>
      </c>
      <c r="W113" s="252">
        <f t="shared" si="32"/>
        <v>69.677419354838705</v>
      </c>
      <c r="X113" s="208"/>
      <c r="Y113" s="208"/>
      <c r="Z113" s="223"/>
      <c r="AA113" s="229">
        <v>12</v>
      </c>
      <c r="AB113" s="252">
        <f t="shared" si="35"/>
        <v>10.410671331224336</v>
      </c>
      <c r="AC113" s="252">
        <f t="shared" si="33"/>
        <v>44.6471068976225</v>
      </c>
      <c r="AD113" s="252">
        <f t="shared" si="33"/>
        <v>101.63265341681816</v>
      </c>
      <c r="AE113" s="252">
        <f t="shared" si="33"/>
        <v>131.2704505823036</v>
      </c>
      <c r="AF113" s="252">
        <f t="shared" si="33"/>
        <v>145.74533874856388</v>
      </c>
      <c r="AG113" s="252">
        <f t="shared" si="33"/>
        <v>128.25796449478526</v>
      </c>
      <c r="AH113" s="252">
        <f t="shared" si="33"/>
        <v>136.16086974195406</v>
      </c>
      <c r="AI113" s="252">
        <f t="shared" si="33"/>
        <v>127.08384299247027</v>
      </c>
      <c r="AJ113" s="252">
        <f t="shared" si="33"/>
        <v>89.895293980906402</v>
      </c>
      <c r="AK113" s="252">
        <f t="shared" si="33"/>
        <v>96.690265372226889</v>
      </c>
      <c r="AL113" s="252">
        <f t="shared" si="33"/>
        <v>25.023849915714294</v>
      </c>
      <c r="AM113" s="252">
        <f t="shared" si="33"/>
        <v>7.8223552759106951</v>
      </c>
      <c r="AN113" s="248"/>
    </row>
    <row r="114" spans="1:41">
      <c r="A114" s="208"/>
      <c r="B114" s="208"/>
      <c r="C114" s="208"/>
      <c r="D114" s="208"/>
      <c r="E114" s="276"/>
      <c r="F114" s="276"/>
      <c r="G114" s="277"/>
      <c r="H114" s="202"/>
      <c r="I114" s="202"/>
      <c r="J114" s="223"/>
      <c r="K114" s="230">
        <v>13</v>
      </c>
      <c r="L114" s="252">
        <f t="shared" si="34"/>
        <v>69.677419354838705</v>
      </c>
      <c r="M114" s="252">
        <f t="shared" si="32"/>
        <v>56.12903225806452</v>
      </c>
      <c r="N114" s="252">
        <f t="shared" si="32"/>
        <v>61.935483870967744</v>
      </c>
      <c r="O114" s="252">
        <f t="shared" si="32"/>
        <v>64.838709677419359</v>
      </c>
      <c r="P114" s="252">
        <f t="shared" si="32"/>
        <v>77.41935483870968</v>
      </c>
      <c r="Q114" s="252">
        <f t="shared" si="32"/>
        <v>103.54838709677419</v>
      </c>
      <c r="R114" s="252">
        <f t="shared" si="32"/>
        <v>123.87096774193549</v>
      </c>
      <c r="S114" s="252">
        <f t="shared" si="32"/>
        <v>113.2258064516129</v>
      </c>
      <c r="T114" s="252">
        <f t="shared" si="32"/>
        <v>101.61290322580645</v>
      </c>
      <c r="U114" s="252">
        <f t="shared" si="32"/>
        <v>60</v>
      </c>
      <c r="V114" s="252">
        <f t="shared" si="32"/>
        <v>65.806451612903231</v>
      </c>
      <c r="W114" s="252">
        <f t="shared" si="32"/>
        <v>69.677419354838705</v>
      </c>
      <c r="X114" s="208"/>
      <c r="Y114" s="208"/>
      <c r="Z114" s="223"/>
      <c r="AA114" s="229">
        <v>13</v>
      </c>
      <c r="AB114" s="252">
        <f t="shared" si="35"/>
        <v>9.5298339249295339</v>
      </c>
      <c r="AC114" s="252">
        <f t="shared" si="33"/>
        <v>43.61524857768844</v>
      </c>
      <c r="AD114" s="252">
        <f t="shared" si="33"/>
        <v>100.01122271275287</v>
      </c>
      <c r="AE114" s="252">
        <f t="shared" si="33"/>
        <v>129.54022394876236</v>
      </c>
      <c r="AF114" s="252">
        <f t="shared" si="33"/>
        <v>143.98440240318479</v>
      </c>
      <c r="AG114" s="252">
        <f t="shared" si="33"/>
        <v>126.44071632989015</v>
      </c>
      <c r="AH114" s="252">
        <f t="shared" si="33"/>
        <v>133.96602214650261</v>
      </c>
      <c r="AI114" s="252">
        <f t="shared" si="33"/>
        <v>139.87295573710117</v>
      </c>
      <c r="AJ114" s="252">
        <f t="shared" si="33"/>
        <v>87.996329370815019</v>
      </c>
      <c r="AK114" s="252">
        <f t="shared" si="33"/>
        <v>94.994818076195941</v>
      </c>
      <c r="AL114" s="252">
        <f t="shared" si="33"/>
        <v>24.00941499619266</v>
      </c>
      <c r="AM114" s="252">
        <f t="shared" si="33"/>
        <v>6.9458326645582957</v>
      </c>
      <c r="AN114" s="248"/>
    </row>
    <row r="115" spans="1:41">
      <c r="A115" s="532" t="s">
        <v>253</v>
      </c>
      <c r="B115" s="532"/>
      <c r="C115" s="456"/>
      <c r="D115" s="301">
        <f>'Simulazione 10.1'!C35</f>
        <v>554389</v>
      </c>
      <c r="E115" s="208"/>
      <c r="F115" s="208"/>
      <c r="G115" s="276"/>
      <c r="H115" s="202"/>
      <c r="I115" s="202"/>
      <c r="J115" s="223"/>
      <c r="K115" s="230">
        <v>14</v>
      </c>
      <c r="L115" s="252">
        <f t="shared" si="34"/>
        <v>69.677419354838705</v>
      </c>
      <c r="M115" s="252">
        <f t="shared" si="32"/>
        <v>56.12903225806452</v>
      </c>
      <c r="N115" s="252">
        <f t="shared" si="32"/>
        <v>61.935483870967744</v>
      </c>
      <c r="O115" s="252">
        <f t="shared" si="32"/>
        <v>64.838709677419359</v>
      </c>
      <c r="P115" s="252">
        <f t="shared" si="32"/>
        <v>77.41935483870968</v>
      </c>
      <c r="Q115" s="252">
        <f t="shared" si="32"/>
        <v>103.54838709677419</v>
      </c>
      <c r="R115" s="252">
        <f t="shared" si="32"/>
        <v>123.87096774193549</v>
      </c>
      <c r="S115" s="252">
        <f t="shared" si="32"/>
        <v>113.2258064516129</v>
      </c>
      <c r="T115" s="252">
        <f t="shared" si="32"/>
        <v>101.61290322580645</v>
      </c>
      <c r="U115" s="252">
        <f t="shared" si="32"/>
        <v>60</v>
      </c>
      <c r="V115" s="252">
        <f t="shared" si="32"/>
        <v>65.806451612903231</v>
      </c>
      <c r="W115" s="252">
        <f t="shared" si="32"/>
        <v>69.677419354838705</v>
      </c>
      <c r="X115" s="208"/>
      <c r="Y115" s="208"/>
      <c r="Z115" s="223"/>
      <c r="AA115" s="229">
        <v>14</v>
      </c>
      <c r="AB115" s="252">
        <f t="shared" si="35"/>
        <v>4.2437986642852081</v>
      </c>
      <c r="AC115" s="252">
        <f t="shared" si="33"/>
        <v>37.422914528088761</v>
      </c>
      <c r="AD115" s="252">
        <f t="shared" si="33"/>
        <v>90.280777782588785</v>
      </c>
      <c r="AE115" s="252">
        <f t="shared" si="33"/>
        <v>119.15687859076169</v>
      </c>
      <c r="AF115" s="252">
        <f t="shared" si="33"/>
        <v>133.41676353260237</v>
      </c>
      <c r="AG115" s="252">
        <f t="shared" si="33"/>
        <v>115.53514192043825</v>
      </c>
      <c r="AH115" s="252">
        <f t="shared" si="33"/>
        <v>120.79441783180874</v>
      </c>
      <c r="AI115" s="252">
        <f t="shared" si="33"/>
        <v>139.25711597103285</v>
      </c>
      <c r="AJ115" s="252">
        <f t="shared" si="33"/>
        <v>76.600362514817434</v>
      </c>
      <c r="AK115" s="252">
        <f t="shared" si="33"/>
        <v>84.820188654993103</v>
      </c>
      <c r="AL115" s="252">
        <f t="shared" si="33"/>
        <v>17.921641343644822</v>
      </c>
      <c r="AM115" s="252">
        <f t="shared" si="33"/>
        <v>1.6856911250992823</v>
      </c>
      <c r="AN115" s="248"/>
    </row>
    <row r="116" spans="1:41">
      <c r="A116" s="532" t="s">
        <v>238</v>
      </c>
      <c r="B116" s="532"/>
      <c r="C116" s="456"/>
      <c r="D116" s="301">
        <f>'Simulazione 10.1'!C36</f>
        <v>1000000</v>
      </c>
      <c r="E116" s="202"/>
      <c r="F116" s="202"/>
      <c r="G116" s="251"/>
      <c r="H116" s="202"/>
      <c r="I116" s="202"/>
      <c r="J116" s="223"/>
      <c r="K116" s="230"/>
      <c r="L116" s="252"/>
      <c r="M116" s="252"/>
      <c r="N116" s="252"/>
      <c r="O116" s="252"/>
      <c r="P116" s="252"/>
      <c r="Q116" s="252"/>
      <c r="R116" s="252"/>
      <c r="S116" s="252"/>
      <c r="T116" s="252"/>
      <c r="U116" s="252"/>
      <c r="V116" s="252"/>
      <c r="W116" s="252"/>
      <c r="X116" s="208"/>
      <c r="Y116" s="208"/>
      <c r="Z116" s="223"/>
      <c r="AA116" s="229"/>
      <c r="AB116" s="252"/>
      <c r="AC116" s="252"/>
      <c r="AD116" s="252"/>
      <c r="AE116" s="252"/>
      <c r="AF116" s="252"/>
      <c r="AG116" s="252"/>
      <c r="AH116" s="252"/>
      <c r="AI116" s="252"/>
      <c r="AJ116" s="252"/>
      <c r="AK116" s="252"/>
      <c r="AL116" s="252"/>
      <c r="AM116" s="252"/>
      <c r="AN116" s="248"/>
    </row>
    <row r="117" spans="1:41">
      <c r="A117" s="202"/>
      <c r="B117" s="202"/>
      <c r="C117" s="202"/>
      <c r="D117" s="202"/>
      <c r="E117" s="202"/>
      <c r="F117" s="202"/>
      <c r="G117" s="202"/>
      <c r="H117" s="202"/>
      <c r="I117" s="202"/>
      <c r="J117" s="223"/>
      <c r="K117" s="230">
        <v>15</v>
      </c>
      <c r="L117" s="252">
        <f t="shared" ref="L117:W124" si="36">IF(AB85&gt;L85,L85,IF(AB85=0,0,AB85))</f>
        <v>64.12885499654459</v>
      </c>
      <c r="M117" s="252">
        <f t="shared" si="36"/>
        <v>56.12903225806452</v>
      </c>
      <c r="N117" s="252">
        <f t="shared" si="36"/>
        <v>61.935483870967744</v>
      </c>
      <c r="O117" s="252">
        <f t="shared" si="36"/>
        <v>64.838709677419359</v>
      </c>
      <c r="P117" s="252">
        <f t="shared" si="36"/>
        <v>77.41935483870968</v>
      </c>
      <c r="Q117" s="252">
        <f t="shared" si="36"/>
        <v>103.54838709677419</v>
      </c>
      <c r="R117" s="252">
        <f t="shared" si="36"/>
        <v>123.87096774193549</v>
      </c>
      <c r="S117" s="252">
        <f t="shared" si="36"/>
        <v>113.2258064516129</v>
      </c>
      <c r="T117" s="252">
        <f t="shared" si="36"/>
        <v>101.61290322580645</v>
      </c>
      <c r="U117" s="252">
        <f t="shared" si="36"/>
        <v>60</v>
      </c>
      <c r="V117" s="252">
        <f t="shared" si="36"/>
        <v>65.806451612903231</v>
      </c>
      <c r="W117" s="252">
        <f t="shared" si="36"/>
        <v>61.196042084793305</v>
      </c>
      <c r="X117" s="208"/>
      <c r="Y117" s="208"/>
      <c r="Z117" s="223"/>
      <c r="AA117" s="229">
        <v>15</v>
      </c>
      <c r="AB117" s="252">
        <f t="shared" ref="AB117:AM125" si="37">AB85-L117</f>
        <v>0</v>
      </c>
      <c r="AC117" s="252">
        <f t="shared" si="37"/>
        <v>26.49210208098777</v>
      </c>
      <c r="AD117" s="252">
        <f t="shared" si="37"/>
        <v>73.104432367996054</v>
      </c>
      <c r="AE117" s="252">
        <f t="shared" si="37"/>
        <v>100.82802233515974</v>
      </c>
      <c r="AF117" s="252">
        <f t="shared" si="37"/>
        <v>114.76258926199786</v>
      </c>
      <c r="AG117" s="252">
        <f t="shared" si="37"/>
        <v>96.284438140120002</v>
      </c>
      <c r="AH117" s="252">
        <f t="shared" si="37"/>
        <v>97.543679864813498</v>
      </c>
      <c r="AI117" s="252">
        <f t="shared" si="37"/>
        <v>125.27829215659918</v>
      </c>
      <c r="AJ117" s="252">
        <f t="shared" si="37"/>
        <v>56.484009721424187</v>
      </c>
      <c r="AK117" s="252">
        <f t="shared" si="37"/>
        <v>66.859761289303094</v>
      </c>
      <c r="AL117" s="252">
        <f t="shared" si="37"/>
        <v>6.9444374349844082</v>
      </c>
      <c r="AM117" s="252">
        <f t="shared" si="37"/>
        <v>0</v>
      </c>
      <c r="AN117" s="248"/>
    </row>
    <row r="118" spans="1:41" ht="25.5">
      <c r="A118" s="210" t="s">
        <v>92</v>
      </c>
      <c r="B118" s="210" t="s">
        <v>239</v>
      </c>
      <c r="C118" s="210"/>
      <c r="D118" s="210" t="s">
        <v>28</v>
      </c>
      <c r="E118" s="210" t="s">
        <v>240</v>
      </c>
      <c r="F118" s="258" t="s">
        <v>241</v>
      </c>
      <c r="G118" s="210" t="s">
        <v>242</v>
      </c>
      <c r="H118" s="210" t="s">
        <v>255</v>
      </c>
      <c r="I118" s="210" t="s">
        <v>256</v>
      </c>
      <c r="J118" s="223"/>
      <c r="K118" s="230">
        <v>16</v>
      </c>
      <c r="L118" s="252">
        <f t="shared" si="36"/>
        <v>39.854744501781759</v>
      </c>
      <c r="M118" s="252">
        <f t="shared" si="36"/>
        <v>56.12903225806452</v>
      </c>
      <c r="N118" s="252">
        <f t="shared" si="36"/>
        <v>61.935483870967744</v>
      </c>
      <c r="O118" s="252">
        <f t="shared" si="36"/>
        <v>64.838709677419359</v>
      </c>
      <c r="P118" s="252">
        <f t="shared" si="36"/>
        <v>77.41935483870968</v>
      </c>
      <c r="Q118" s="252">
        <f t="shared" si="36"/>
        <v>103.54838709677419</v>
      </c>
      <c r="R118" s="252">
        <f t="shared" si="36"/>
        <v>123.87096774193549</v>
      </c>
      <c r="S118" s="252">
        <f t="shared" si="36"/>
        <v>113.2258064516129</v>
      </c>
      <c r="T118" s="252">
        <f t="shared" si="36"/>
        <v>101.61290322580645</v>
      </c>
      <c r="U118" s="252">
        <f t="shared" si="36"/>
        <v>60</v>
      </c>
      <c r="V118" s="252">
        <f t="shared" si="36"/>
        <v>48.696005122095102</v>
      </c>
      <c r="W118" s="252">
        <f t="shared" si="36"/>
        <v>30.493336303516088</v>
      </c>
      <c r="X118" s="208"/>
      <c r="Y118" s="208"/>
      <c r="Z118" s="223"/>
      <c r="AA118" s="229">
        <v>16</v>
      </c>
      <c r="AB118" s="252">
        <f t="shared" si="37"/>
        <v>0</v>
      </c>
      <c r="AC118" s="252">
        <f t="shared" si="37"/>
        <v>6.8642001530450827</v>
      </c>
      <c r="AD118" s="252">
        <f t="shared" si="37"/>
        <v>48.120328774164022</v>
      </c>
      <c r="AE118" s="252">
        <f t="shared" si="37"/>
        <v>75.784593467010467</v>
      </c>
      <c r="AF118" s="252">
        <f t="shared" si="37"/>
        <v>89.293130740432545</v>
      </c>
      <c r="AG118" s="252">
        <f t="shared" si="37"/>
        <v>70.000508638271882</v>
      </c>
      <c r="AH118" s="252">
        <f t="shared" si="37"/>
        <v>65.798307614306452</v>
      </c>
      <c r="AI118" s="252">
        <f t="shared" si="37"/>
        <v>98.889118035655571</v>
      </c>
      <c r="AJ118" s="252">
        <f t="shared" si="37"/>
        <v>28.307672469251187</v>
      </c>
      <c r="AK118" s="252">
        <f t="shared" si="37"/>
        <v>37.988841483973175</v>
      </c>
      <c r="AL118" s="252">
        <f t="shared" si="37"/>
        <v>0</v>
      </c>
      <c r="AM118" s="252">
        <f t="shared" si="37"/>
        <v>0</v>
      </c>
      <c r="AN118" s="248"/>
    </row>
    <row r="119" spans="1:41">
      <c r="A119" s="206">
        <v>1</v>
      </c>
      <c r="B119" s="259">
        <f>'Simulazione 10.1'!C35</f>
        <v>554389</v>
      </c>
      <c r="C119" s="259">
        <f>X127+((X127/100)*Calcoli!$D$203)</f>
        <v>506843.99923733057</v>
      </c>
      <c r="D119" s="259">
        <f t="shared" ref="D119:D127" si="38">IF(C119&lt;B119,C119,B119)</f>
        <v>506843.99923733057</v>
      </c>
      <c r="E119" s="259">
        <f t="shared" ref="E119:E143" si="39">B119-D119</f>
        <v>47545.000762669428</v>
      </c>
      <c r="F119" s="259">
        <f t="shared" ref="F119:F143" si="40">G119-D119</f>
        <v>493156.00076266943</v>
      </c>
      <c r="G119" s="259">
        <f>D116</f>
        <v>1000000</v>
      </c>
      <c r="H119" s="259">
        <f t="shared" ref="H119:H143" si="41">IF(F119&lt;E119,G119-D119,E119)</f>
        <v>47545.000762669428</v>
      </c>
      <c r="I119" s="259">
        <f>IF(F119&lt;E119,E119-F119,0)</f>
        <v>0</v>
      </c>
      <c r="J119" s="223"/>
      <c r="K119" s="230">
        <v>17</v>
      </c>
      <c r="L119" s="252">
        <f t="shared" si="36"/>
        <v>0</v>
      </c>
      <c r="M119" s="252">
        <f t="shared" si="36"/>
        <v>20.16821079677792</v>
      </c>
      <c r="N119" s="252">
        <f t="shared" si="36"/>
        <v>68.561292169744405</v>
      </c>
      <c r="O119" s="252">
        <f t="shared" si="36"/>
        <v>86.451612903225808</v>
      </c>
      <c r="P119" s="252">
        <f t="shared" si="36"/>
        <v>103.2258064516129</v>
      </c>
      <c r="Q119" s="252">
        <f t="shared" si="36"/>
        <v>138.06451612903226</v>
      </c>
      <c r="R119" s="252">
        <f t="shared" si="36"/>
        <v>149.36309509850369</v>
      </c>
      <c r="S119" s="252">
        <f t="shared" si="36"/>
        <v>150.96774193548387</v>
      </c>
      <c r="T119" s="252">
        <f t="shared" si="36"/>
        <v>86.236423715859019</v>
      </c>
      <c r="U119" s="252">
        <f t="shared" si="36"/>
        <v>42.256563882272495</v>
      </c>
      <c r="V119" s="252">
        <f t="shared" si="36"/>
        <v>3.9898511100238223</v>
      </c>
      <c r="W119" s="252">
        <f t="shared" si="36"/>
        <v>0</v>
      </c>
      <c r="X119" s="208"/>
      <c r="Y119" s="208"/>
      <c r="Z119" s="223"/>
      <c r="AA119" s="229">
        <v>17</v>
      </c>
      <c r="AB119" s="252">
        <f t="shared" si="37"/>
        <v>0</v>
      </c>
      <c r="AC119" s="252">
        <f t="shared" si="37"/>
        <v>0</v>
      </c>
      <c r="AD119" s="252">
        <f t="shared" si="37"/>
        <v>0</v>
      </c>
      <c r="AE119" s="252">
        <f t="shared" si="37"/>
        <v>17.496706149650151</v>
      </c>
      <c r="AF119" s="252">
        <f t="shared" si="37"/>
        <v>30.081498024768024</v>
      </c>
      <c r="AG119" s="252">
        <f t="shared" si="37"/>
        <v>2.3936364135942085</v>
      </c>
      <c r="AH119" s="252">
        <f t="shared" si="37"/>
        <v>0</v>
      </c>
      <c r="AI119" s="252">
        <f t="shared" si="37"/>
        <v>16.21236835306226</v>
      </c>
      <c r="AJ119" s="252">
        <f t="shared" si="37"/>
        <v>0</v>
      </c>
      <c r="AK119" s="252">
        <f t="shared" si="37"/>
        <v>0</v>
      </c>
      <c r="AL119" s="252">
        <f t="shared" si="37"/>
        <v>0</v>
      </c>
      <c r="AM119" s="252">
        <f t="shared" si="37"/>
        <v>0</v>
      </c>
      <c r="AN119" s="248"/>
    </row>
    <row r="120" spans="1:41">
      <c r="A120" s="206">
        <v>2</v>
      </c>
      <c r="B120" s="259">
        <f>B119/100*(100-'Simulazione 10.1'!$C$63)</f>
        <v>549399.49899999995</v>
      </c>
      <c r="C120" s="259">
        <f>(B120*$X$128)+((B120*$X$128)/100*Calcoli!$D$203)</f>
        <v>502282.40324419457</v>
      </c>
      <c r="D120" s="259">
        <f t="shared" si="38"/>
        <v>502282.40324419457</v>
      </c>
      <c r="E120" s="259">
        <f t="shared" si="39"/>
        <v>47117.095755805378</v>
      </c>
      <c r="F120" s="259">
        <f t="shared" si="40"/>
        <v>522717.59675580531</v>
      </c>
      <c r="G120" s="259">
        <f>G119*(1+$AA$3)</f>
        <v>1024999.9999999999</v>
      </c>
      <c r="H120" s="259">
        <f t="shared" si="41"/>
        <v>47117.095755805378</v>
      </c>
      <c r="I120" s="259">
        <f t="shared" ref="I120:I143" si="42">IF(F120&lt;E120,E120-F120,0)</f>
        <v>0</v>
      </c>
      <c r="J120" s="223"/>
      <c r="K120" s="230">
        <v>18</v>
      </c>
      <c r="L120" s="252">
        <f t="shared" si="36"/>
        <v>0</v>
      </c>
      <c r="M120" s="252">
        <f t="shared" si="36"/>
        <v>0</v>
      </c>
      <c r="N120" s="252">
        <f t="shared" si="36"/>
        <v>10.050818740456734</v>
      </c>
      <c r="O120" s="252">
        <f t="shared" si="36"/>
        <v>54.025614446749628</v>
      </c>
      <c r="P120" s="252">
        <f t="shared" si="36"/>
        <v>87.286210826023037</v>
      </c>
      <c r="Q120" s="252">
        <f t="shared" si="36"/>
        <v>95.800460158383444</v>
      </c>
      <c r="R120" s="252">
        <f t="shared" si="36"/>
        <v>96.150645046684815</v>
      </c>
      <c r="S120" s="252">
        <f t="shared" si="36"/>
        <v>98.172358687193196</v>
      </c>
      <c r="T120" s="252">
        <f t="shared" si="36"/>
        <v>24.08175546819945</v>
      </c>
      <c r="U120" s="252">
        <f t="shared" si="36"/>
        <v>0</v>
      </c>
      <c r="V120" s="252">
        <f t="shared" si="36"/>
        <v>0</v>
      </c>
      <c r="W120" s="252">
        <f t="shared" si="36"/>
        <v>0</v>
      </c>
      <c r="X120" s="208"/>
      <c r="Y120" s="208"/>
      <c r="Z120" s="223"/>
      <c r="AA120" s="229">
        <v>18</v>
      </c>
      <c r="AB120" s="252">
        <f t="shared" si="37"/>
        <v>0</v>
      </c>
      <c r="AC120" s="252">
        <f t="shared" si="37"/>
        <v>0</v>
      </c>
      <c r="AD120" s="252">
        <f t="shared" si="37"/>
        <v>0</v>
      </c>
      <c r="AE120" s="252">
        <f t="shared" si="37"/>
        <v>0</v>
      </c>
      <c r="AF120" s="252">
        <f t="shared" si="37"/>
        <v>0</v>
      </c>
      <c r="AG120" s="252">
        <f t="shared" si="37"/>
        <v>0</v>
      </c>
      <c r="AH120" s="252">
        <f t="shared" si="37"/>
        <v>0</v>
      </c>
      <c r="AI120" s="252">
        <f t="shared" si="37"/>
        <v>0</v>
      </c>
      <c r="AJ120" s="252">
        <f t="shared" si="37"/>
        <v>0</v>
      </c>
      <c r="AK120" s="252">
        <f t="shared" si="37"/>
        <v>0</v>
      </c>
      <c r="AL120" s="252">
        <f t="shared" si="37"/>
        <v>0</v>
      </c>
      <c r="AM120" s="252">
        <f t="shared" si="37"/>
        <v>0</v>
      </c>
      <c r="AN120" s="248"/>
    </row>
    <row r="121" spans="1:41">
      <c r="A121" s="206">
        <v>3</v>
      </c>
      <c r="B121" s="259">
        <f>B120/100*(100-'Simulazione 10.1'!$C$63)</f>
        <v>544454.90350899985</v>
      </c>
      <c r="C121" s="259">
        <f>(B121*$X$128)+((B121*$X$128)/100*Calcoli!$D$203)</f>
        <v>497761.86161499674</v>
      </c>
      <c r="D121" s="259">
        <f t="shared" si="38"/>
        <v>497761.86161499674</v>
      </c>
      <c r="E121" s="259">
        <f t="shared" si="39"/>
        <v>46693.041894003109</v>
      </c>
      <c r="F121" s="259">
        <f t="shared" si="40"/>
        <v>552863.13838500297</v>
      </c>
      <c r="G121" s="259">
        <f t="shared" ref="G121:G143" si="43">G120*(1+$AA$3)</f>
        <v>1050624.9999999998</v>
      </c>
      <c r="H121" s="259">
        <f t="shared" si="41"/>
        <v>46693.041894003109</v>
      </c>
      <c r="I121" s="259">
        <f t="shared" si="42"/>
        <v>0</v>
      </c>
      <c r="J121" s="223"/>
      <c r="K121" s="230">
        <v>19</v>
      </c>
      <c r="L121" s="252">
        <f t="shared" si="36"/>
        <v>0</v>
      </c>
      <c r="M121" s="252">
        <f t="shared" si="36"/>
        <v>0</v>
      </c>
      <c r="N121" s="252">
        <f t="shared" si="36"/>
        <v>0</v>
      </c>
      <c r="O121" s="252">
        <f t="shared" si="36"/>
        <v>2.1559094259207359</v>
      </c>
      <c r="P121" s="252">
        <f t="shared" si="36"/>
        <v>31.210077065227992</v>
      </c>
      <c r="Q121" s="252">
        <f t="shared" si="36"/>
        <v>46.551878653967776</v>
      </c>
      <c r="R121" s="252">
        <f t="shared" si="36"/>
        <v>39.344627280517663</v>
      </c>
      <c r="S121" s="252">
        <f t="shared" si="36"/>
        <v>11.820065690258284</v>
      </c>
      <c r="T121" s="252">
        <f t="shared" si="36"/>
        <v>0</v>
      </c>
      <c r="U121" s="252">
        <f t="shared" si="36"/>
        <v>0</v>
      </c>
      <c r="V121" s="252">
        <f t="shared" si="36"/>
        <v>0</v>
      </c>
      <c r="W121" s="252">
        <f t="shared" si="36"/>
        <v>0</v>
      </c>
      <c r="X121" s="208"/>
      <c r="Y121" s="208"/>
      <c r="Z121" s="223"/>
      <c r="AA121" s="229">
        <v>19</v>
      </c>
      <c r="AB121" s="252">
        <f t="shared" si="37"/>
        <v>0</v>
      </c>
      <c r="AC121" s="252">
        <f t="shared" si="37"/>
        <v>0</v>
      </c>
      <c r="AD121" s="252">
        <f t="shared" si="37"/>
        <v>0</v>
      </c>
      <c r="AE121" s="252">
        <f t="shared" si="37"/>
        <v>0</v>
      </c>
      <c r="AF121" s="252">
        <f t="shared" si="37"/>
        <v>0</v>
      </c>
      <c r="AG121" s="252">
        <f t="shared" si="37"/>
        <v>0</v>
      </c>
      <c r="AH121" s="252">
        <f t="shared" si="37"/>
        <v>0</v>
      </c>
      <c r="AI121" s="252">
        <f t="shared" si="37"/>
        <v>0</v>
      </c>
      <c r="AJ121" s="252">
        <f t="shared" si="37"/>
        <v>0</v>
      </c>
      <c r="AK121" s="252">
        <f t="shared" si="37"/>
        <v>0</v>
      </c>
      <c r="AL121" s="252">
        <f t="shared" si="37"/>
        <v>0</v>
      </c>
      <c r="AM121" s="252">
        <f t="shared" si="37"/>
        <v>0</v>
      </c>
      <c r="AN121" s="248"/>
    </row>
    <row r="122" spans="1:41">
      <c r="A122" s="206">
        <v>4</v>
      </c>
      <c r="B122" s="259">
        <f>B121/100*(100-'Simulazione 10.1'!$C$63)</f>
        <v>539554.80937741883</v>
      </c>
      <c r="C122" s="259">
        <f>(B122*$X$128)+((B122*$X$128)/100*Calcoli!$D$203)</f>
        <v>493282.00486046175</v>
      </c>
      <c r="D122" s="259">
        <f t="shared" si="38"/>
        <v>493282.00486046175</v>
      </c>
      <c r="E122" s="259">
        <f t="shared" si="39"/>
        <v>46272.804516957083</v>
      </c>
      <c r="F122" s="259">
        <f t="shared" si="40"/>
        <v>583608.62013953808</v>
      </c>
      <c r="G122" s="259">
        <f t="shared" si="43"/>
        <v>1076890.6249999998</v>
      </c>
      <c r="H122" s="259">
        <f t="shared" si="41"/>
        <v>46272.804516957083</v>
      </c>
      <c r="I122" s="259">
        <f t="shared" si="42"/>
        <v>0</v>
      </c>
      <c r="J122" s="223"/>
      <c r="K122" s="230">
        <v>20</v>
      </c>
      <c r="L122" s="252">
        <f t="shared" si="36"/>
        <v>0</v>
      </c>
      <c r="M122" s="252">
        <f t="shared" si="36"/>
        <v>0</v>
      </c>
      <c r="N122" s="252">
        <f t="shared" si="36"/>
        <v>0</v>
      </c>
      <c r="O122" s="252">
        <f t="shared" si="36"/>
        <v>0</v>
      </c>
      <c r="P122" s="252">
        <f t="shared" si="36"/>
        <v>0</v>
      </c>
      <c r="Q122" s="252">
        <f t="shared" si="36"/>
        <v>0</v>
      </c>
      <c r="R122" s="252">
        <f t="shared" si="36"/>
        <v>0</v>
      </c>
      <c r="S122" s="252">
        <f t="shared" si="36"/>
        <v>0</v>
      </c>
      <c r="T122" s="252">
        <f t="shared" si="36"/>
        <v>0</v>
      </c>
      <c r="U122" s="252">
        <f t="shared" si="36"/>
        <v>0</v>
      </c>
      <c r="V122" s="252">
        <f t="shared" si="36"/>
        <v>0</v>
      </c>
      <c r="W122" s="252">
        <f t="shared" si="36"/>
        <v>0</v>
      </c>
      <c r="X122" s="208"/>
      <c r="Y122" s="208"/>
      <c r="Z122" s="223"/>
      <c r="AA122" s="229">
        <v>20</v>
      </c>
      <c r="AB122" s="252">
        <f t="shared" si="37"/>
        <v>0</v>
      </c>
      <c r="AC122" s="252">
        <f t="shared" si="37"/>
        <v>0</v>
      </c>
      <c r="AD122" s="252">
        <f t="shared" si="37"/>
        <v>0</v>
      </c>
      <c r="AE122" s="252">
        <f t="shared" si="37"/>
        <v>0</v>
      </c>
      <c r="AF122" s="252">
        <f t="shared" si="37"/>
        <v>0</v>
      </c>
      <c r="AG122" s="252">
        <f t="shared" si="37"/>
        <v>0</v>
      </c>
      <c r="AH122" s="252">
        <f t="shared" si="37"/>
        <v>0</v>
      </c>
      <c r="AI122" s="252">
        <f t="shared" si="37"/>
        <v>0</v>
      </c>
      <c r="AJ122" s="252">
        <f t="shared" si="37"/>
        <v>0</v>
      </c>
      <c r="AK122" s="252">
        <f t="shared" si="37"/>
        <v>0</v>
      </c>
      <c r="AL122" s="252">
        <f t="shared" si="37"/>
        <v>0</v>
      </c>
      <c r="AM122" s="252">
        <f t="shared" si="37"/>
        <v>0</v>
      </c>
      <c r="AN122" s="248"/>
    </row>
    <row r="123" spans="1:41">
      <c r="A123" s="206">
        <v>5</v>
      </c>
      <c r="B123" s="259">
        <f>B122/100*(100-'Simulazione 10.1'!$C$63)</f>
        <v>534698.816093022</v>
      </c>
      <c r="C123" s="259">
        <f>(B123*$X$128)+((B123*$X$128)/100*Calcoli!$D$203)</f>
        <v>488842.46681671753</v>
      </c>
      <c r="D123" s="259">
        <f t="shared" si="38"/>
        <v>488842.46681671753</v>
      </c>
      <c r="E123" s="259">
        <f t="shared" si="39"/>
        <v>45856.349276304478</v>
      </c>
      <c r="F123" s="259">
        <f t="shared" si="40"/>
        <v>614970.42380828224</v>
      </c>
      <c r="G123" s="259">
        <f t="shared" si="43"/>
        <v>1103812.8906249998</v>
      </c>
      <c r="H123" s="259">
        <f t="shared" si="41"/>
        <v>45856.349276304478</v>
      </c>
      <c r="I123" s="259">
        <f t="shared" si="42"/>
        <v>0</v>
      </c>
      <c r="J123" s="223"/>
      <c r="K123" s="230">
        <v>21</v>
      </c>
      <c r="L123" s="252">
        <f t="shared" si="36"/>
        <v>0</v>
      </c>
      <c r="M123" s="252">
        <f t="shared" si="36"/>
        <v>0</v>
      </c>
      <c r="N123" s="252">
        <f t="shared" si="36"/>
        <v>0</v>
      </c>
      <c r="O123" s="252">
        <f t="shared" si="36"/>
        <v>0</v>
      </c>
      <c r="P123" s="252">
        <f t="shared" si="36"/>
        <v>0</v>
      </c>
      <c r="Q123" s="252">
        <f t="shared" si="36"/>
        <v>0</v>
      </c>
      <c r="R123" s="252">
        <f t="shared" si="36"/>
        <v>0</v>
      </c>
      <c r="S123" s="252">
        <f t="shared" si="36"/>
        <v>0</v>
      </c>
      <c r="T123" s="252">
        <f t="shared" si="36"/>
        <v>0</v>
      </c>
      <c r="U123" s="252">
        <f t="shared" si="36"/>
        <v>0</v>
      </c>
      <c r="V123" s="252">
        <f t="shared" si="36"/>
        <v>0</v>
      </c>
      <c r="W123" s="252">
        <f t="shared" si="36"/>
        <v>0</v>
      </c>
      <c r="X123" s="208"/>
      <c r="Y123" s="208"/>
      <c r="Z123" s="223"/>
      <c r="AA123" s="229">
        <v>21</v>
      </c>
      <c r="AB123" s="252">
        <f t="shared" si="37"/>
        <v>0</v>
      </c>
      <c r="AC123" s="252">
        <f t="shared" si="37"/>
        <v>0</v>
      </c>
      <c r="AD123" s="252">
        <f t="shared" si="37"/>
        <v>0</v>
      </c>
      <c r="AE123" s="252">
        <f t="shared" si="37"/>
        <v>0</v>
      </c>
      <c r="AF123" s="252">
        <f t="shared" si="37"/>
        <v>0</v>
      </c>
      <c r="AG123" s="252">
        <f t="shared" si="37"/>
        <v>0</v>
      </c>
      <c r="AH123" s="252">
        <f t="shared" si="37"/>
        <v>0</v>
      </c>
      <c r="AI123" s="252">
        <f t="shared" si="37"/>
        <v>0</v>
      </c>
      <c r="AJ123" s="252">
        <f t="shared" si="37"/>
        <v>0</v>
      </c>
      <c r="AK123" s="252">
        <f t="shared" si="37"/>
        <v>0</v>
      </c>
      <c r="AL123" s="252">
        <f t="shared" si="37"/>
        <v>0</v>
      </c>
      <c r="AM123" s="252">
        <f t="shared" si="37"/>
        <v>0</v>
      </c>
      <c r="AN123" s="248"/>
    </row>
    <row r="124" spans="1:41">
      <c r="A124" s="206">
        <v>6</v>
      </c>
      <c r="B124" s="259">
        <f>B123/100*(100-'Simulazione 10.1'!$C$63)</f>
        <v>529886.52674818481</v>
      </c>
      <c r="C124" s="259">
        <f>(B124*$X$128)+((B124*$X$128)/100*Calcoli!$D$203)</f>
        <v>484442.88461536705</v>
      </c>
      <c r="D124" s="259">
        <f t="shared" si="38"/>
        <v>484442.88461536705</v>
      </c>
      <c r="E124" s="259">
        <f t="shared" si="39"/>
        <v>45443.642132817768</v>
      </c>
      <c r="F124" s="259">
        <f t="shared" si="40"/>
        <v>646965.32827525772</v>
      </c>
      <c r="G124" s="259">
        <f t="shared" si="43"/>
        <v>1131408.2128906248</v>
      </c>
      <c r="H124" s="259">
        <f t="shared" si="41"/>
        <v>45443.642132817768</v>
      </c>
      <c r="I124" s="259">
        <f t="shared" si="42"/>
        <v>0</v>
      </c>
      <c r="J124" s="223"/>
      <c r="K124" s="230">
        <v>22</v>
      </c>
      <c r="L124" s="252">
        <f t="shared" si="36"/>
        <v>0</v>
      </c>
      <c r="M124" s="252">
        <f t="shared" si="36"/>
        <v>0</v>
      </c>
      <c r="N124" s="252">
        <f t="shared" si="36"/>
        <v>0</v>
      </c>
      <c r="O124" s="252">
        <f t="shared" si="36"/>
        <v>0</v>
      </c>
      <c r="P124" s="252">
        <f t="shared" si="36"/>
        <v>0</v>
      </c>
      <c r="Q124" s="252">
        <f t="shared" si="36"/>
        <v>0</v>
      </c>
      <c r="R124" s="252">
        <f t="shared" si="36"/>
        <v>0</v>
      </c>
      <c r="S124" s="252">
        <f t="shared" si="36"/>
        <v>0</v>
      </c>
      <c r="T124" s="252">
        <f t="shared" si="36"/>
        <v>0</v>
      </c>
      <c r="U124" s="252">
        <f t="shared" si="36"/>
        <v>0</v>
      </c>
      <c r="V124" s="252">
        <f t="shared" si="36"/>
        <v>0</v>
      </c>
      <c r="W124" s="252">
        <f t="shared" si="36"/>
        <v>0</v>
      </c>
      <c r="X124" s="208"/>
      <c r="Y124" s="208"/>
      <c r="Z124" s="223"/>
      <c r="AA124" s="229">
        <v>22</v>
      </c>
      <c r="AB124" s="252">
        <f t="shared" si="37"/>
        <v>0</v>
      </c>
      <c r="AC124" s="252">
        <f t="shared" si="37"/>
        <v>0</v>
      </c>
      <c r="AD124" s="252">
        <f t="shared" si="37"/>
        <v>0</v>
      </c>
      <c r="AE124" s="252">
        <f t="shared" si="37"/>
        <v>0</v>
      </c>
      <c r="AF124" s="252">
        <f t="shared" si="37"/>
        <v>0</v>
      </c>
      <c r="AG124" s="252">
        <f t="shared" si="37"/>
        <v>0</v>
      </c>
      <c r="AH124" s="252">
        <f t="shared" si="37"/>
        <v>0</v>
      </c>
      <c r="AI124" s="252">
        <f t="shared" si="37"/>
        <v>0</v>
      </c>
      <c r="AJ124" s="252">
        <f t="shared" si="37"/>
        <v>0</v>
      </c>
      <c r="AK124" s="252">
        <f t="shared" si="37"/>
        <v>0</v>
      </c>
      <c r="AL124" s="252">
        <f t="shared" si="37"/>
        <v>0</v>
      </c>
      <c r="AM124" s="252">
        <f t="shared" si="37"/>
        <v>0</v>
      </c>
      <c r="AN124" s="248"/>
    </row>
    <row r="125" spans="1:41">
      <c r="A125" s="206">
        <v>7</v>
      </c>
      <c r="B125" s="259">
        <f>B124/100*(100-'Simulazione 10.1'!$C$63)</f>
        <v>525117.54800745111</v>
      </c>
      <c r="C125" s="259">
        <f>(B125*$X$128)+((B125*$X$128)/100*Calcoli!$D$203)</f>
        <v>480082.89865382877</v>
      </c>
      <c r="D125" s="259">
        <f t="shared" si="38"/>
        <v>480082.89865382877</v>
      </c>
      <c r="E125" s="259">
        <f t="shared" si="39"/>
        <v>45034.649353622342</v>
      </c>
      <c r="F125" s="259">
        <f t="shared" si="40"/>
        <v>679610.51955906162</v>
      </c>
      <c r="G125" s="259">
        <f t="shared" si="43"/>
        <v>1159693.4182128904</v>
      </c>
      <c r="H125" s="259">
        <f t="shared" si="41"/>
        <v>45034.649353622342</v>
      </c>
      <c r="I125" s="259">
        <f t="shared" si="42"/>
        <v>0</v>
      </c>
      <c r="J125" s="223"/>
      <c r="K125" s="239">
        <v>23</v>
      </c>
      <c r="L125" s="252">
        <f>IF(AB93&gt;L93,L93,IF(AB93=0,0,IF(AB93&lt;L93,L93-AB93,0)))</f>
        <v>0</v>
      </c>
      <c r="M125" s="252">
        <f t="shared" ref="M125:W125" si="44">IF(AC93&gt;M93,M93,IF(AC93=0,0,IF(AC93&lt;M93,M93-AC93,0)))</f>
        <v>0</v>
      </c>
      <c r="N125" s="252">
        <f t="shared" si="44"/>
        <v>0</v>
      </c>
      <c r="O125" s="252">
        <f t="shared" si="44"/>
        <v>0</v>
      </c>
      <c r="P125" s="252">
        <f t="shared" si="44"/>
        <v>0</v>
      </c>
      <c r="Q125" s="252">
        <f t="shared" si="44"/>
        <v>0</v>
      </c>
      <c r="R125" s="252">
        <f t="shared" si="44"/>
        <v>0</v>
      </c>
      <c r="S125" s="252">
        <f t="shared" si="44"/>
        <v>0</v>
      </c>
      <c r="T125" s="252">
        <f t="shared" si="44"/>
        <v>0</v>
      </c>
      <c r="U125" s="252">
        <f t="shared" si="44"/>
        <v>0</v>
      </c>
      <c r="V125" s="252">
        <f t="shared" si="44"/>
        <v>0</v>
      </c>
      <c r="W125" s="252">
        <f t="shared" si="44"/>
        <v>0</v>
      </c>
      <c r="X125" s="208"/>
      <c r="Y125" s="208"/>
      <c r="Z125" s="223"/>
      <c r="AA125" s="260">
        <v>23</v>
      </c>
      <c r="AB125" s="252">
        <f t="shared" si="37"/>
        <v>0</v>
      </c>
      <c r="AC125" s="252">
        <f t="shared" si="37"/>
        <v>0</v>
      </c>
      <c r="AD125" s="252">
        <f t="shared" si="37"/>
        <v>0</v>
      </c>
      <c r="AE125" s="252">
        <f t="shared" si="37"/>
        <v>0</v>
      </c>
      <c r="AF125" s="252">
        <f t="shared" si="37"/>
        <v>0</v>
      </c>
      <c r="AG125" s="252">
        <f t="shared" si="37"/>
        <v>0</v>
      </c>
      <c r="AH125" s="252">
        <f t="shared" si="37"/>
        <v>0</v>
      </c>
      <c r="AI125" s="252">
        <f t="shared" si="37"/>
        <v>0</v>
      </c>
      <c r="AJ125" s="252">
        <f t="shared" si="37"/>
        <v>0</v>
      </c>
      <c r="AK125" s="252">
        <f t="shared" si="37"/>
        <v>0</v>
      </c>
      <c r="AL125" s="252">
        <f t="shared" si="37"/>
        <v>0</v>
      </c>
      <c r="AM125" s="252">
        <f t="shared" si="37"/>
        <v>0</v>
      </c>
      <c r="AN125" s="248"/>
    </row>
    <row r="126" spans="1:41">
      <c r="A126" s="206">
        <v>8</v>
      </c>
      <c r="B126" s="259">
        <f>B125/100*(100-'Simulazione 10.1'!$C$63)</f>
        <v>520391.49007538403</v>
      </c>
      <c r="C126" s="259">
        <f>(B126*$X$128)+((B126*$X$128)/100*Calcoli!$D$203)</f>
        <v>475762.1525659443</v>
      </c>
      <c r="D126" s="259">
        <f t="shared" si="38"/>
        <v>475762.1525659443</v>
      </c>
      <c r="E126" s="259">
        <f t="shared" si="39"/>
        <v>44629.337509439734</v>
      </c>
      <c r="F126" s="259">
        <f t="shared" si="40"/>
        <v>712923.60110226832</v>
      </c>
      <c r="G126" s="259">
        <f t="shared" si="43"/>
        <v>1188685.7536682126</v>
      </c>
      <c r="H126" s="259">
        <f t="shared" si="41"/>
        <v>44629.337509439734</v>
      </c>
      <c r="I126" s="259">
        <f t="shared" si="42"/>
        <v>0</v>
      </c>
      <c r="J126" s="533" t="s">
        <v>232</v>
      </c>
      <c r="K126" s="534"/>
      <c r="L126" s="252">
        <f t="shared" ref="L126:W126" si="45">SUM(L101:L125)</f>
        <v>541.26192893900986</v>
      </c>
      <c r="M126" s="252">
        <f t="shared" si="45"/>
        <v>574.79005617287623</v>
      </c>
      <c r="N126" s="252">
        <f t="shared" si="45"/>
        <v>808.82528908199924</v>
      </c>
      <c r="O126" s="252">
        <f t="shared" si="45"/>
        <v>1020.6438801908276</v>
      </c>
      <c r="P126" s="252">
        <f t="shared" si="45"/>
        <v>1324.5237366190927</v>
      </c>
      <c r="Q126" s="252">
        <f t="shared" si="45"/>
        <v>1612.7213857154813</v>
      </c>
      <c r="R126" s="252">
        <f t="shared" si="45"/>
        <v>1791.476695357263</v>
      </c>
      <c r="S126" s="252">
        <f t="shared" si="45"/>
        <v>1387.6612414513577</v>
      </c>
      <c r="T126" s="252">
        <f t="shared" si="45"/>
        <v>1192.3623430724263</v>
      </c>
      <c r="U126" s="252">
        <f t="shared" si="45"/>
        <v>708.0505873105019</v>
      </c>
      <c r="V126" s="252">
        <f t="shared" si="45"/>
        <v>566.89493904478024</v>
      </c>
      <c r="W126" s="252">
        <f t="shared" si="45"/>
        <v>515.79607941368477</v>
      </c>
      <c r="X126" s="210" t="s">
        <v>233</v>
      </c>
      <c r="Y126" s="256"/>
      <c r="Z126" s="533" t="s">
        <v>232</v>
      </c>
      <c r="AA126" s="535"/>
      <c r="AB126" s="252">
        <f t="shared" ref="AB126:AM126" si="46">SUM(AB101:AB125)</f>
        <v>31.010587190022449</v>
      </c>
      <c r="AC126" s="252">
        <f t="shared" si="46"/>
        <v>212.08465350454298</v>
      </c>
      <c r="AD126" s="252">
        <f t="shared" si="46"/>
        <v>568.20545285348487</v>
      </c>
      <c r="AE126" s="252">
        <f t="shared" si="46"/>
        <v>785.59124884143034</v>
      </c>
      <c r="AF126" s="252">
        <f t="shared" si="46"/>
        <v>893.03226338090724</v>
      </c>
      <c r="AG126" s="252">
        <f t="shared" si="46"/>
        <v>730.01922718774438</v>
      </c>
      <c r="AH126" s="252">
        <f t="shared" si="46"/>
        <v>747.98259496531773</v>
      </c>
      <c r="AI126" s="252">
        <f t="shared" si="46"/>
        <v>776.24421016154622</v>
      </c>
      <c r="AJ126" s="252">
        <f t="shared" si="46"/>
        <v>452.92114079854167</v>
      </c>
      <c r="AK126" s="252">
        <f t="shared" si="46"/>
        <v>525.91202559272392</v>
      </c>
      <c r="AL126" s="252">
        <f t="shared" si="46"/>
        <v>94.795157729413489</v>
      </c>
      <c r="AM126" s="252">
        <f t="shared" si="46"/>
        <v>20.709404457283156</v>
      </c>
      <c r="AN126" s="261" t="s">
        <v>233</v>
      </c>
    </row>
    <row r="127" spans="1:41">
      <c r="A127" s="206">
        <v>9</v>
      </c>
      <c r="B127" s="259">
        <f>B126/100*(100-'Simulazione 10.1'!$C$63)</f>
        <v>515707.96666470548</v>
      </c>
      <c r="C127" s="259">
        <f>(B127*$X$128)+((B127*$X$128)/100*Calcoli!$D$203)</f>
        <v>471480.29319285066</v>
      </c>
      <c r="D127" s="259">
        <f t="shared" si="38"/>
        <v>471480.29319285066</v>
      </c>
      <c r="E127" s="259">
        <f t="shared" si="39"/>
        <v>44227.673471854825</v>
      </c>
      <c r="F127" s="259">
        <f t="shared" si="40"/>
        <v>746922.60431706719</v>
      </c>
      <c r="G127" s="259">
        <f t="shared" si="43"/>
        <v>1218402.8975099178</v>
      </c>
      <c r="H127" s="259">
        <f t="shared" si="41"/>
        <v>44227.673471854825</v>
      </c>
      <c r="I127" s="259">
        <f t="shared" si="42"/>
        <v>0</v>
      </c>
      <c r="J127" s="536" t="s">
        <v>234</v>
      </c>
      <c r="K127" s="537"/>
      <c r="L127" s="252">
        <f>L126*31</f>
        <v>16779.119797109306</v>
      </c>
      <c r="M127" s="252">
        <f>M126*28</f>
        <v>16094.121572840535</v>
      </c>
      <c r="N127" s="252">
        <f t="shared" ref="M127:W127" si="47">N126*31</f>
        <v>25073.583961541975</v>
      </c>
      <c r="O127" s="252">
        <f>O126*30</f>
        <v>30619.316405724829</v>
      </c>
      <c r="P127" s="252">
        <f t="shared" si="47"/>
        <v>41060.235835191874</v>
      </c>
      <c r="Q127" s="252">
        <f>Q126*30</f>
        <v>48381.641571464439</v>
      </c>
      <c r="R127" s="252">
        <f t="shared" si="47"/>
        <v>55535.777556075154</v>
      </c>
      <c r="S127" s="252">
        <f t="shared" si="47"/>
        <v>43017.498484992087</v>
      </c>
      <c r="T127" s="252">
        <f>T126*30</f>
        <v>35770.870292172789</v>
      </c>
      <c r="U127" s="252">
        <f t="shared" si="47"/>
        <v>21949.568206625558</v>
      </c>
      <c r="V127" s="252">
        <f>V126*30</f>
        <v>17006.848171343408</v>
      </c>
      <c r="W127" s="252">
        <f t="shared" si="47"/>
        <v>15989.678461824227</v>
      </c>
      <c r="X127" s="262">
        <f>SUM(L127:W127)</f>
        <v>367278.26031690621</v>
      </c>
      <c r="Y127" s="263"/>
      <c r="Z127" s="536" t="s">
        <v>234</v>
      </c>
      <c r="AA127" s="538"/>
      <c r="AB127" s="252">
        <f>AB126*31</f>
        <v>961.32820289069593</v>
      </c>
      <c r="AC127" s="252">
        <f t="shared" ref="AC127:AM127" si="48">AC126*31</f>
        <v>6574.6242586408325</v>
      </c>
      <c r="AD127" s="252">
        <f t="shared" si="48"/>
        <v>17614.36903845803</v>
      </c>
      <c r="AE127" s="252">
        <f t="shared" si="48"/>
        <v>24353.328714084342</v>
      </c>
      <c r="AF127" s="252">
        <f t="shared" si="48"/>
        <v>27684.000164808123</v>
      </c>
      <c r="AG127" s="252">
        <f t="shared" si="48"/>
        <v>22630.596042820074</v>
      </c>
      <c r="AH127" s="252">
        <f t="shared" si="48"/>
        <v>23187.460443924851</v>
      </c>
      <c r="AI127" s="252">
        <f t="shared" si="48"/>
        <v>24063.570515007934</v>
      </c>
      <c r="AJ127" s="252">
        <f t="shared" si="48"/>
        <v>14040.555364754791</v>
      </c>
      <c r="AK127" s="252">
        <f t="shared" si="48"/>
        <v>16303.272793374441</v>
      </c>
      <c r="AL127" s="252">
        <f t="shared" si="48"/>
        <v>2938.6498896118183</v>
      </c>
      <c r="AM127" s="252">
        <f t="shared" si="48"/>
        <v>641.99153817577781</v>
      </c>
      <c r="AN127" s="264">
        <f>SUM(AB127:AM127)</f>
        <v>180993.7469665517</v>
      </c>
    </row>
    <row r="128" spans="1:41">
      <c r="A128" s="206">
        <v>10</v>
      </c>
      <c r="B128" s="259">
        <f>B127/100*(100-'Simulazione 10.1'!$C$63)</f>
        <v>511066.5949647231</v>
      </c>
      <c r="C128" s="259">
        <f>(B128*$X$128)+((B128*$X$128)/100*Calcoli!$D$203)</f>
        <v>467236.97055411502</v>
      </c>
      <c r="D128" s="259">
        <f t="shared" ref="D128:D143" si="49">IF(C128&lt;B128,C128,B128)</f>
        <v>467236.97055411502</v>
      </c>
      <c r="E128" s="259">
        <f t="shared" si="39"/>
        <v>43829.624410608085</v>
      </c>
      <c r="F128" s="259">
        <f t="shared" si="40"/>
        <v>781625.99939355068</v>
      </c>
      <c r="G128" s="259">
        <f t="shared" si="43"/>
        <v>1248862.9699476657</v>
      </c>
      <c r="H128" s="259">
        <f t="shared" si="41"/>
        <v>43829.624410608085</v>
      </c>
      <c r="I128" s="259">
        <f t="shared" si="42"/>
        <v>0</v>
      </c>
      <c r="J128" s="256"/>
      <c r="K128" s="256"/>
      <c r="L128" s="229" t="s">
        <v>215</v>
      </c>
      <c r="M128" s="229" t="s">
        <v>216</v>
      </c>
      <c r="N128" s="229" t="s">
        <v>217</v>
      </c>
      <c r="O128" s="229" t="s">
        <v>218</v>
      </c>
      <c r="P128" s="229" t="s">
        <v>219</v>
      </c>
      <c r="Q128" s="229" t="s">
        <v>220</v>
      </c>
      <c r="R128" s="229" t="s">
        <v>221</v>
      </c>
      <c r="S128" s="229" t="s">
        <v>222</v>
      </c>
      <c r="T128" s="229" t="s">
        <v>223</v>
      </c>
      <c r="U128" s="229" t="s">
        <v>224</v>
      </c>
      <c r="V128" s="229" t="s">
        <v>225</v>
      </c>
      <c r="W128" s="230" t="s">
        <v>226</v>
      </c>
      <c r="X128" s="539">
        <f>X127/AN95</f>
        <v>0.66249196920737285</v>
      </c>
      <c r="Y128" s="539"/>
      <c r="Z128" s="256"/>
      <c r="AA128" s="256"/>
      <c r="AB128" s="225" t="s">
        <v>215</v>
      </c>
      <c r="AC128" s="225" t="s">
        <v>216</v>
      </c>
      <c r="AD128" s="225" t="s">
        <v>217</v>
      </c>
      <c r="AE128" s="225" t="s">
        <v>218</v>
      </c>
      <c r="AF128" s="225" t="s">
        <v>219</v>
      </c>
      <c r="AG128" s="225" t="s">
        <v>220</v>
      </c>
      <c r="AH128" s="225" t="s">
        <v>221</v>
      </c>
      <c r="AI128" s="225" t="s">
        <v>222</v>
      </c>
      <c r="AJ128" s="225" t="s">
        <v>223</v>
      </c>
      <c r="AK128" s="225" t="s">
        <v>224</v>
      </c>
      <c r="AL128" s="225" t="s">
        <v>225</v>
      </c>
      <c r="AM128" s="225" t="s">
        <v>226</v>
      </c>
      <c r="AN128" s="525">
        <f>AN127/AN95</f>
        <v>0.32647427522290612</v>
      </c>
      <c r="AO128" s="525"/>
    </row>
    <row r="129" spans="1:41">
      <c r="A129" s="206">
        <v>11</v>
      </c>
      <c r="B129" s="259">
        <f>B128/100*(100-'Simulazione 10.1'!$C$63)</f>
        <v>506466.99561004055</v>
      </c>
      <c r="C129" s="259">
        <f>(B129*$X$128)+((B129*$X$128)/100*Calcoli!$D$203)</f>
        <v>463031.83781912795</v>
      </c>
      <c r="D129" s="259">
        <f t="shared" si="49"/>
        <v>463031.83781912795</v>
      </c>
      <c r="E129" s="259">
        <f t="shared" si="39"/>
        <v>43435.157790912606</v>
      </c>
      <c r="F129" s="259">
        <f t="shared" si="40"/>
        <v>817052.7063772293</v>
      </c>
      <c r="G129" s="259">
        <f t="shared" si="43"/>
        <v>1280084.5441963573</v>
      </c>
      <c r="H129" s="259">
        <f t="shared" si="41"/>
        <v>43435.157790912606</v>
      </c>
      <c r="I129" s="259">
        <f t="shared" si="42"/>
        <v>0</v>
      </c>
      <c r="J129" s="202"/>
      <c r="K129" s="202"/>
      <c r="L129" s="202"/>
      <c r="M129" s="202"/>
      <c r="N129" s="202"/>
      <c r="O129" s="202"/>
      <c r="P129" s="202"/>
      <c r="Q129" s="202"/>
      <c r="R129" s="202"/>
      <c r="S129" s="202"/>
      <c r="T129" s="202"/>
      <c r="U129" s="202"/>
      <c r="V129" s="202"/>
      <c r="W129" s="202"/>
      <c r="X129" s="526" t="s">
        <v>243</v>
      </c>
      <c r="Y129" s="526"/>
      <c r="Z129" s="202"/>
      <c r="AA129" s="265">
        <f>SUM(AB129:AM129)</f>
        <v>1.0000000000000002</v>
      </c>
      <c r="AB129" s="235">
        <f>AB127/$AN$127</f>
        <v>5.3113890341656544E-3</v>
      </c>
      <c r="AC129" s="235">
        <f t="shared" ref="AC129:AM129" si="50">AC127/$AN$127</f>
        <v>3.6325145861839346E-2</v>
      </c>
      <c r="AD129" s="235">
        <f t="shared" si="50"/>
        <v>9.7320318152832264E-2</v>
      </c>
      <c r="AE129" s="235">
        <f t="shared" si="50"/>
        <v>0.13455342586274499</v>
      </c>
      <c r="AF129" s="235">
        <f t="shared" si="50"/>
        <v>0.15295556133176372</v>
      </c>
      <c r="AG129" s="235">
        <f t="shared" si="50"/>
        <v>0.12503523697424912</v>
      </c>
      <c r="AH129" s="235">
        <f t="shared" si="50"/>
        <v>0.12811194216676433</v>
      </c>
      <c r="AI129" s="235">
        <f t="shared" si="50"/>
        <v>0.13295249652715885</v>
      </c>
      <c r="AJ129" s="235">
        <f t="shared" si="50"/>
        <v>7.7574809075307657E-2</v>
      </c>
      <c r="AK129" s="235">
        <f t="shared" si="50"/>
        <v>9.0076442234147153E-2</v>
      </c>
      <c r="AL129" s="235">
        <f t="shared" si="50"/>
        <v>1.6236195663460636E-2</v>
      </c>
      <c r="AM129" s="235">
        <f t="shared" si="50"/>
        <v>3.5470371155663194E-3</v>
      </c>
      <c r="AN129" s="527" t="s">
        <v>244</v>
      </c>
      <c r="AO129" s="527"/>
    </row>
    <row r="130" spans="1:41">
      <c r="A130" s="206">
        <v>12</v>
      </c>
      <c r="B130" s="259">
        <f>B129/100*(100-'Simulazione 10.1'!$C$63)</f>
        <v>501908.79264955013</v>
      </c>
      <c r="C130" s="259">
        <f>(B130*$X$128)+((B130*$X$128)/100*Calcoli!$D$203)</f>
        <v>458864.55127875577</v>
      </c>
      <c r="D130" s="259">
        <f t="shared" si="49"/>
        <v>458864.55127875577</v>
      </c>
      <c r="E130" s="259">
        <f t="shared" si="39"/>
        <v>43044.241370794363</v>
      </c>
      <c r="F130" s="259">
        <f t="shared" si="40"/>
        <v>853222.10652251029</v>
      </c>
      <c r="G130" s="259">
        <f t="shared" si="43"/>
        <v>1312086.6578012661</v>
      </c>
      <c r="H130" s="259">
        <f t="shared" si="41"/>
        <v>43044.241370794363</v>
      </c>
      <c r="I130" s="259">
        <f t="shared" si="42"/>
        <v>0</v>
      </c>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row>
    <row r="131" spans="1:41">
      <c r="A131" s="206">
        <v>13</v>
      </c>
      <c r="B131" s="259">
        <f>B130/100*(100-'Simulazione 10.1'!$C$63)</f>
        <v>497391.61351570411</v>
      </c>
      <c r="C131" s="259">
        <f>(B131*$X$128)+((B131*$X$128)/100*Calcoli!$D$203)</f>
        <v>454734.7703172469</v>
      </c>
      <c r="D131" s="259">
        <f t="shared" si="49"/>
        <v>454734.7703172469</v>
      </c>
      <c r="E131" s="259">
        <f t="shared" si="39"/>
        <v>42656.843198457209</v>
      </c>
      <c r="F131" s="259">
        <f t="shared" si="40"/>
        <v>890154.05392905069</v>
      </c>
      <c r="G131" s="259">
        <f t="shared" si="43"/>
        <v>1344888.8242462976</v>
      </c>
      <c r="H131" s="259">
        <f t="shared" si="41"/>
        <v>42656.843198457209</v>
      </c>
      <c r="I131" s="259">
        <f t="shared" si="42"/>
        <v>0</v>
      </c>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row>
    <row r="132" spans="1:41">
      <c r="A132" s="206">
        <v>14</v>
      </c>
      <c r="B132" s="259">
        <f>B131/100*(100-'Simulazione 10.1'!$C$63)</f>
        <v>492915.08899406274</v>
      </c>
      <c r="C132" s="259">
        <f>(B132*$X$128)+((B132*$X$128)/100*Calcoli!$D$203)</f>
        <v>450642.15738439158</v>
      </c>
      <c r="D132" s="259">
        <f t="shared" si="49"/>
        <v>450642.15738439158</v>
      </c>
      <c r="E132" s="259">
        <f t="shared" si="39"/>
        <v>42272.931609671155</v>
      </c>
      <c r="F132" s="259">
        <f t="shared" si="40"/>
        <v>927868.88746806327</v>
      </c>
      <c r="G132" s="259">
        <f t="shared" si="43"/>
        <v>1378511.0448524549</v>
      </c>
      <c r="H132" s="259">
        <f t="shared" si="41"/>
        <v>42272.931609671155</v>
      </c>
      <c r="I132" s="259">
        <f t="shared" si="42"/>
        <v>0</v>
      </c>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row>
    <row r="133" spans="1:41">
      <c r="A133" s="206">
        <v>15</v>
      </c>
      <c r="B133" s="259">
        <f>B132/100*(100-'Simulazione 10.1'!$C$63)</f>
        <v>488478.85319311614</v>
      </c>
      <c r="C133" s="259">
        <f>(B133*$X$128)+((B133*$X$128)/100*Calcoli!$D$203)</f>
        <v>446586.37796793203</v>
      </c>
      <c r="D133" s="259">
        <f t="shared" si="49"/>
        <v>446586.37796793203</v>
      </c>
      <c r="E133" s="259">
        <f t="shared" si="39"/>
        <v>41892.475225184113</v>
      </c>
      <c r="F133" s="259">
        <f t="shared" si="40"/>
        <v>966387.44300583424</v>
      </c>
      <c r="G133" s="259">
        <f t="shared" si="43"/>
        <v>1412973.8209737663</v>
      </c>
      <c r="H133" s="259">
        <f t="shared" si="41"/>
        <v>41892.475225184113</v>
      </c>
      <c r="I133" s="259">
        <f t="shared" si="42"/>
        <v>0</v>
      </c>
      <c r="J133" s="202"/>
      <c r="K133" s="526" t="s">
        <v>245</v>
      </c>
      <c r="L133" s="526"/>
      <c r="M133" s="526"/>
      <c r="N133" s="526"/>
      <c r="O133" s="526"/>
      <c r="P133" s="526"/>
      <c r="Q133" s="526"/>
      <c r="R133" s="526"/>
      <c r="S133" s="526"/>
      <c r="T133" s="526"/>
      <c r="U133" s="526"/>
      <c r="V133" s="526"/>
      <c r="W133" s="526"/>
      <c r="X133" s="222"/>
      <c r="Y133" s="222"/>
      <c r="Z133" s="222"/>
      <c r="AA133" s="222"/>
      <c r="AB133" s="222"/>
      <c r="AC133" s="222"/>
      <c r="AD133" s="222"/>
      <c r="AE133" s="222"/>
      <c r="AF133" s="222"/>
      <c r="AG133" s="222"/>
      <c r="AH133" s="222"/>
      <c r="AI133" s="222"/>
      <c r="AJ133" s="222"/>
      <c r="AK133" s="208"/>
      <c r="AL133" s="202"/>
      <c r="AM133" s="202"/>
    </row>
    <row r="134" spans="1:41" ht="24">
      <c r="A134" s="266">
        <v>16</v>
      </c>
      <c r="B134" s="259">
        <f>B133/100*(100-'Simulazione 10.1'!$C$63)</f>
        <v>484082.54351437808</v>
      </c>
      <c r="C134" s="259">
        <f>(B134*$X$128)+((B134*$X$128)/100*Calcoli!$D$203)</f>
        <v>442567.10056622064</v>
      </c>
      <c r="D134" s="259">
        <f t="shared" si="49"/>
        <v>442567.10056622064</v>
      </c>
      <c r="E134" s="259">
        <f t="shared" si="39"/>
        <v>41515.442948157433</v>
      </c>
      <c r="F134" s="259">
        <f t="shared" si="40"/>
        <v>1005731.0659318897</v>
      </c>
      <c r="G134" s="252">
        <f t="shared" si="43"/>
        <v>1448298.1664981104</v>
      </c>
      <c r="H134" s="259">
        <f t="shared" si="41"/>
        <v>41515.442948157433</v>
      </c>
      <c r="I134" s="259">
        <f t="shared" si="42"/>
        <v>0</v>
      </c>
      <c r="J134" s="202"/>
      <c r="K134" s="224" t="s">
        <v>214</v>
      </c>
      <c r="L134" s="225" t="s">
        <v>215</v>
      </c>
      <c r="M134" s="225" t="s">
        <v>216</v>
      </c>
      <c r="N134" s="225" t="s">
        <v>217</v>
      </c>
      <c r="O134" s="225" t="s">
        <v>218</v>
      </c>
      <c r="P134" s="225" t="s">
        <v>219</v>
      </c>
      <c r="Q134" s="225" t="s">
        <v>220</v>
      </c>
      <c r="R134" s="225" t="s">
        <v>221</v>
      </c>
      <c r="S134" s="225" t="s">
        <v>222</v>
      </c>
      <c r="T134" s="225" t="s">
        <v>223</v>
      </c>
      <c r="U134" s="225" t="s">
        <v>224</v>
      </c>
      <c r="V134" s="225" t="s">
        <v>225</v>
      </c>
      <c r="W134" s="225" t="s">
        <v>226</v>
      </c>
      <c r="X134" s="245"/>
      <c r="Y134" s="245"/>
      <c r="Z134" s="245"/>
      <c r="AA134" s="245"/>
      <c r="AB134" s="245"/>
      <c r="AC134" s="245"/>
      <c r="AD134" s="245"/>
      <c r="AE134" s="245"/>
      <c r="AF134" s="245"/>
      <c r="AG134" s="245"/>
      <c r="AH134" s="245"/>
      <c r="AI134" s="245"/>
      <c r="AJ134" s="245"/>
      <c r="AK134" s="208"/>
      <c r="AL134" s="202"/>
      <c r="AM134" s="202"/>
    </row>
    <row r="135" spans="1:41">
      <c r="A135" s="206">
        <v>17</v>
      </c>
      <c r="B135" s="259">
        <f>B134/100*(100-'Simulazione 10.1'!$C$63)</f>
        <v>479725.80062274868</v>
      </c>
      <c r="C135" s="259">
        <f>(B135*$X$128)+((B135*$X$128)/100*Calcoli!$D$203)</f>
        <v>438583.99666112463</v>
      </c>
      <c r="D135" s="259">
        <f t="shared" si="49"/>
        <v>438583.99666112463</v>
      </c>
      <c r="E135" s="259">
        <f t="shared" si="39"/>
        <v>41141.803961624042</v>
      </c>
      <c r="F135" s="259">
        <f t="shared" si="40"/>
        <v>1045921.6239994384</v>
      </c>
      <c r="G135" s="259">
        <f t="shared" si="43"/>
        <v>1484505.620660563</v>
      </c>
      <c r="H135" s="259">
        <f t="shared" si="41"/>
        <v>41141.803961624042</v>
      </c>
      <c r="I135" s="259">
        <f t="shared" si="42"/>
        <v>0</v>
      </c>
      <c r="J135" s="202"/>
      <c r="K135" s="230">
        <v>0</v>
      </c>
      <c r="L135" s="252">
        <f t="shared" ref="L135:W149" si="51">L70-L101</f>
        <v>69.677419354838705</v>
      </c>
      <c r="M135" s="252">
        <f t="shared" si="51"/>
        <v>56.12903225806452</v>
      </c>
      <c r="N135" s="252">
        <f t="shared" si="51"/>
        <v>61.935483870967744</v>
      </c>
      <c r="O135" s="252">
        <f t="shared" si="51"/>
        <v>64.838709677419359</v>
      </c>
      <c r="P135" s="252">
        <f t="shared" si="51"/>
        <v>77.41935483870968</v>
      </c>
      <c r="Q135" s="252">
        <f t="shared" si="51"/>
        <v>103.54838709677419</v>
      </c>
      <c r="R135" s="252">
        <f t="shared" si="51"/>
        <v>123.87096774193549</v>
      </c>
      <c r="S135" s="252">
        <f t="shared" si="51"/>
        <v>113.2258064516129</v>
      </c>
      <c r="T135" s="252">
        <f t="shared" si="51"/>
        <v>101.61290322580645</v>
      </c>
      <c r="U135" s="252">
        <f t="shared" si="51"/>
        <v>60</v>
      </c>
      <c r="V135" s="252">
        <f t="shared" si="51"/>
        <v>65.806451612903231</v>
      </c>
      <c r="W135" s="252">
        <f t="shared" si="51"/>
        <v>69.677419354838705</v>
      </c>
      <c r="X135" s="263"/>
      <c r="Y135" s="263"/>
      <c r="Z135" s="263"/>
      <c r="AA135" s="263"/>
      <c r="AB135" s="263"/>
      <c r="AC135" s="263"/>
      <c r="AD135" s="263"/>
      <c r="AE135" s="263"/>
      <c r="AF135" s="263"/>
      <c r="AG135" s="263"/>
      <c r="AH135" s="263"/>
      <c r="AI135" s="263"/>
      <c r="AJ135" s="263"/>
      <c r="AK135" s="208"/>
      <c r="AL135" s="202"/>
      <c r="AM135" s="202"/>
    </row>
    <row r="136" spans="1:41">
      <c r="A136" s="206">
        <v>18</v>
      </c>
      <c r="B136" s="259">
        <f>B135/100*(100-'Simulazione 10.1'!$C$63)</f>
        <v>475408.2684171439</v>
      </c>
      <c r="C136" s="259">
        <f>(B136*$X$128)+((B136*$X$128)/100*Calcoli!$D$203)</f>
        <v>434636.74069117452</v>
      </c>
      <c r="D136" s="259">
        <f t="shared" si="49"/>
        <v>434636.74069117452</v>
      </c>
      <c r="E136" s="259">
        <f t="shared" si="39"/>
        <v>40771.527725969383</v>
      </c>
      <c r="F136" s="259">
        <f t="shared" si="40"/>
        <v>1086981.5204859024</v>
      </c>
      <c r="G136" s="259">
        <f t="shared" si="43"/>
        <v>1521618.261177077</v>
      </c>
      <c r="H136" s="259">
        <f t="shared" si="41"/>
        <v>40771.527725969383</v>
      </c>
      <c r="I136" s="259">
        <f t="shared" si="42"/>
        <v>0</v>
      </c>
      <c r="J136" s="202"/>
      <c r="K136" s="230">
        <v>1</v>
      </c>
      <c r="L136" s="252">
        <f t="shared" si="51"/>
        <v>46.451612903225808</v>
      </c>
      <c r="M136" s="252">
        <f t="shared" si="51"/>
        <v>37.41935483870968</v>
      </c>
      <c r="N136" s="252">
        <f t="shared" si="51"/>
        <v>41.29032258064516</v>
      </c>
      <c r="O136" s="252">
        <f t="shared" si="51"/>
        <v>43.225806451612904</v>
      </c>
      <c r="P136" s="252">
        <f t="shared" si="51"/>
        <v>51.612903225806448</v>
      </c>
      <c r="Q136" s="252">
        <f t="shared" si="51"/>
        <v>69.032258064516128</v>
      </c>
      <c r="R136" s="252">
        <f t="shared" si="51"/>
        <v>82.58064516129032</v>
      </c>
      <c r="S136" s="252">
        <f t="shared" si="51"/>
        <v>75.483870967741936</v>
      </c>
      <c r="T136" s="252">
        <f t="shared" si="51"/>
        <v>67.741935483870961</v>
      </c>
      <c r="U136" s="252">
        <f t="shared" si="51"/>
        <v>40</v>
      </c>
      <c r="V136" s="252">
        <f t="shared" si="51"/>
        <v>43.87096774193548</v>
      </c>
      <c r="W136" s="252">
        <f t="shared" si="51"/>
        <v>46.451612903225808</v>
      </c>
      <c r="X136" s="263"/>
      <c r="Y136" s="263"/>
      <c r="Z136" s="263"/>
      <c r="AA136" s="263"/>
      <c r="AB136" s="263"/>
      <c r="AC136" s="263"/>
      <c r="AD136" s="263"/>
      <c r="AE136" s="263"/>
      <c r="AF136" s="263"/>
      <c r="AG136" s="263"/>
      <c r="AH136" s="263"/>
      <c r="AI136" s="263"/>
      <c r="AJ136" s="263"/>
      <c r="AK136" s="208"/>
      <c r="AL136" s="202"/>
      <c r="AM136" s="202"/>
    </row>
    <row r="137" spans="1:41">
      <c r="A137" s="206">
        <v>19</v>
      </c>
      <c r="B137" s="259">
        <f>B136/100*(100-'Simulazione 10.1'!$C$63)</f>
        <v>471129.59400138957</v>
      </c>
      <c r="C137" s="259">
        <f>(B137*$X$128)+((B137*$X$128)/100*Calcoli!$D$203)</f>
        <v>430725.01002495387</v>
      </c>
      <c r="D137" s="259">
        <f t="shared" si="49"/>
        <v>430725.01002495387</v>
      </c>
      <c r="E137" s="259">
        <f t="shared" si="39"/>
        <v>40404.583976435708</v>
      </c>
      <c r="F137" s="259">
        <f t="shared" si="40"/>
        <v>1128933.7076815499</v>
      </c>
      <c r="G137" s="259">
        <f t="shared" si="43"/>
        <v>1559658.7177065038</v>
      </c>
      <c r="H137" s="259">
        <f t="shared" si="41"/>
        <v>40404.583976435708</v>
      </c>
      <c r="I137" s="259">
        <f t="shared" si="42"/>
        <v>0</v>
      </c>
      <c r="J137" s="202"/>
      <c r="K137" s="230">
        <v>2</v>
      </c>
      <c r="L137" s="252">
        <f t="shared" si="51"/>
        <v>46.451612903225808</v>
      </c>
      <c r="M137" s="252">
        <f t="shared" si="51"/>
        <v>37.41935483870968</v>
      </c>
      <c r="N137" s="252">
        <f t="shared" si="51"/>
        <v>41.29032258064516</v>
      </c>
      <c r="O137" s="252">
        <f t="shared" si="51"/>
        <v>43.225806451612904</v>
      </c>
      <c r="P137" s="252">
        <f t="shared" si="51"/>
        <v>51.612903225806448</v>
      </c>
      <c r="Q137" s="252">
        <f t="shared" si="51"/>
        <v>69.032258064516128</v>
      </c>
      <c r="R137" s="252">
        <f t="shared" si="51"/>
        <v>82.58064516129032</v>
      </c>
      <c r="S137" s="252">
        <f t="shared" si="51"/>
        <v>75.483870967741936</v>
      </c>
      <c r="T137" s="252">
        <f t="shared" si="51"/>
        <v>67.741935483870961</v>
      </c>
      <c r="U137" s="252">
        <f t="shared" si="51"/>
        <v>40</v>
      </c>
      <c r="V137" s="252">
        <f t="shared" si="51"/>
        <v>43.87096774193548</v>
      </c>
      <c r="W137" s="252">
        <f t="shared" si="51"/>
        <v>46.451612903225808</v>
      </c>
      <c r="X137" s="263"/>
      <c r="Y137" s="263"/>
      <c r="Z137" s="263"/>
      <c r="AA137" s="263"/>
      <c r="AB137" s="263"/>
      <c r="AC137" s="263"/>
      <c r="AD137" s="263"/>
      <c r="AE137" s="263"/>
      <c r="AF137" s="263"/>
      <c r="AG137" s="263"/>
      <c r="AH137" s="263"/>
      <c r="AI137" s="263"/>
      <c r="AJ137" s="263"/>
      <c r="AK137" s="208"/>
      <c r="AL137" s="202"/>
      <c r="AM137" s="202"/>
    </row>
    <row r="138" spans="1:41">
      <c r="A138" s="206">
        <v>20</v>
      </c>
      <c r="B138" s="259">
        <f>B137/100*(100-'Simulazione 10.1'!$C$63)</f>
        <v>466889.42765537708</v>
      </c>
      <c r="C138" s="259">
        <f>(B138*$X$128)+((B138*$X$128)/100*Calcoli!$D$203)</f>
        <v>426848.48493472935</v>
      </c>
      <c r="D138" s="259">
        <f t="shared" si="49"/>
        <v>426848.48493472935</v>
      </c>
      <c r="E138" s="259">
        <f t="shared" si="39"/>
        <v>40040.942720647727</v>
      </c>
      <c r="F138" s="259">
        <f t="shared" si="40"/>
        <v>1171801.7007144371</v>
      </c>
      <c r="G138" s="259">
        <f t="shared" si="43"/>
        <v>1598650.1856491663</v>
      </c>
      <c r="H138" s="259">
        <f t="shared" si="41"/>
        <v>40040.942720647727</v>
      </c>
      <c r="I138" s="259">
        <f t="shared" si="42"/>
        <v>0</v>
      </c>
      <c r="J138" s="202"/>
      <c r="K138" s="230">
        <v>3</v>
      </c>
      <c r="L138" s="252">
        <f t="shared" si="51"/>
        <v>46.451612903225808</v>
      </c>
      <c r="M138" s="252">
        <f t="shared" si="51"/>
        <v>37.41935483870968</v>
      </c>
      <c r="N138" s="252">
        <f t="shared" si="51"/>
        <v>41.29032258064516</v>
      </c>
      <c r="O138" s="252">
        <f t="shared" si="51"/>
        <v>43.225806451612904</v>
      </c>
      <c r="P138" s="252">
        <f t="shared" si="51"/>
        <v>51.612903225806448</v>
      </c>
      <c r="Q138" s="252">
        <f t="shared" si="51"/>
        <v>69.032258064516128</v>
      </c>
      <c r="R138" s="252">
        <f t="shared" si="51"/>
        <v>82.58064516129032</v>
      </c>
      <c r="S138" s="252">
        <f t="shared" si="51"/>
        <v>75.483870967741936</v>
      </c>
      <c r="T138" s="252">
        <f t="shared" si="51"/>
        <v>67.741935483870961</v>
      </c>
      <c r="U138" s="252">
        <f t="shared" si="51"/>
        <v>40</v>
      </c>
      <c r="V138" s="252">
        <f t="shared" si="51"/>
        <v>43.87096774193548</v>
      </c>
      <c r="W138" s="252">
        <f t="shared" si="51"/>
        <v>46.451612903225808</v>
      </c>
      <c r="X138" s="263"/>
      <c r="Y138" s="263"/>
      <c r="Z138" s="263"/>
      <c r="AA138" s="263"/>
      <c r="AB138" s="263"/>
      <c r="AC138" s="263"/>
      <c r="AD138" s="263"/>
      <c r="AE138" s="263"/>
      <c r="AF138" s="263"/>
      <c r="AG138" s="263"/>
      <c r="AH138" s="263"/>
      <c r="AI138" s="263"/>
      <c r="AJ138" s="263"/>
      <c r="AK138" s="208"/>
      <c r="AL138" s="202"/>
      <c r="AM138" s="202"/>
    </row>
    <row r="139" spans="1:41">
      <c r="A139" s="206">
        <v>21</v>
      </c>
      <c r="B139" s="259">
        <f>B138/100*(100-'Simulazione 10.1'!$C$63)</f>
        <v>462687.42280647863</v>
      </c>
      <c r="C139" s="259">
        <f>(B139*$X$128)+((B139*$X$128)/100*Calcoli!$D$203)</f>
        <v>423006.84857031674</v>
      </c>
      <c r="D139" s="259">
        <f t="shared" si="49"/>
        <v>423006.84857031674</v>
      </c>
      <c r="E139" s="259">
        <f t="shared" si="39"/>
        <v>39680.57423616189</v>
      </c>
      <c r="F139" s="259">
        <f t="shared" si="40"/>
        <v>1215609.5917200786</v>
      </c>
      <c r="G139" s="259">
        <f t="shared" si="43"/>
        <v>1638616.4402903954</v>
      </c>
      <c r="H139" s="259">
        <f t="shared" si="41"/>
        <v>39680.57423616189</v>
      </c>
      <c r="I139" s="259">
        <f t="shared" si="42"/>
        <v>0</v>
      </c>
      <c r="J139" s="202"/>
      <c r="K139" s="230">
        <v>4</v>
      </c>
      <c r="L139" s="252">
        <f t="shared" si="51"/>
        <v>46.451612903225808</v>
      </c>
      <c r="M139" s="252">
        <f t="shared" si="51"/>
        <v>37.41935483870968</v>
      </c>
      <c r="N139" s="252">
        <f t="shared" si="51"/>
        <v>41.29032258064516</v>
      </c>
      <c r="O139" s="252">
        <f t="shared" si="51"/>
        <v>43.225806451612904</v>
      </c>
      <c r="P139" s="252">
        <f t="shared" si="51"/>
        <v>51.612903225806448</v>
      </c>
      <c r="Q139" s="252">
        <f t="shared" si="51"/>
        <v>69.032258064516128</v>
      </c>
      <c r="R139" s="252">
        <f t="shared" si="51"/>
        <v>82.58064516129032</v>
      </c>
      <c r="S139" s="252">
        <f t="shared" si="51"/>
        <v>75.483870967741936</v>
      </c>
      <c r="T139" s="252">
        <f t="shared" si="51"/>
        <v>67.741935483870961</v>
      </c>
      <c r="U139" s="252">
        <f t="shared" si="51"/>
        <v>40</v>
      </c>
      <c r="V139" s="252">
        <f t="shared" si="51"/>
        <v>43.87096774193548</v>
      </c>
      <c r="W139" s="252">
        <f t="shared" si="51"/>
        <v>46.451612903225808</v>
      </c>
      <c r="X139" s="263"/>
      <c r="Y139" s="263"/>
      <c r="Z139" s="263"/>
      <c r="AA139" s="263"/>
      <c r="AB139" s="263"/>
      <c r="AC139" s="263"/>
      <c r="AD139" s="263"/>
      <c r="AE139" s="263"/>
      <c r="AF139" s="263"/>
      <c r="AG139" s="263"/>
      <c r="AH139" s="263"/>
      <c r="AI139" s="263"/>
      <c r="AJ139" s="263"/>
      <c r="AK139" s="208"/>
      <c r="AL139" s="202"/>
      <c r="AM139" s="202"/>
    </row>
    <row r="140" spans="1:41">
      <c r="A140" s="206">
        <v>22</v>
      </c>
      <c r="B140" s="259">
        <f>B139/100*(100-'Simulazione 10.1'!$C$63)</f>
        <v>458523.2360012203</v>
      </c>
      <c r="C140" s="259">
        <f>(B140*$X$128)+((B140*$X$128)/100*Calcoli!$D$203)</f>
        <v>419199.7869331839</v>
      </c>
      <c r="D140" s="259">
        <f t="shared" si="49"/>
        <v>419199.7869331839</v>
      </c>
      <c r="E140" s="259">
        <f t="shared" si="39"/>
        <v>39323.449068036396</v>
      </c>
      <c r="F140" s="259">
        <f t="shared" si="40"/>
        <v>1260382.0643644712</v>
      </c>
      <c r="G140" s="259">
        <f t="shared" si="43"/>
        <v>1679581.8512976551</v>
      </c>
      <c r="H140" s="259">
        <f t="shared" si="41"/>
        <v>39323.449068036396</v>
      </c>
      <c r="I140" s="259">
        <f t="shared" si="42"/>
        <v>0</v>
      </c>
      <c r="J140" s="202"/>
      <c r="K140" s="230">
        <v>5</v>
      </c>
      <c r="L140" s="252">
        <f t="shared" si="51"/>
        <v>69.677419354838705</v>
      </c>
      <c r="M140" s="252">
        <f t="shared" si="51"/>
        <v>56.12903225806452</v>
      </c>
      <c r="N140" s="252">
        <f t="shared" si="51"/>
        <v>61.935483870967744</v>
      </c>
      <c r="O140" s="252">
        <f t="shared" si="51"/>
        <v>62.871851130960337</v>
      </c>
      <c r="P140" s="252">
        <f t="shared" si="51"/>
        <v>51.633606224927959</v>
      </c>
      <c r="Q140" s="252">
        <f t="shared" si="51"/>
        <v>66.638361417344512</v>
      </c>
      <c r="R140" s="252">
        <f t="shared" si="51"/>
        <v>93.901278831574146</v>
      </c>
      <c r="S140" s="252">
        <f t="shared" si="51"/>
        <v>108.28232503535752</v>
      </c>
      <c r="T140" s="252">
        <f t="shared" si="51"/>
        <v>101.61290322580645</v>
      </c>
      <c r="U140" s="252">
        <f t="shared" si="51"/>
        <v>60</v>
      </c>
      <c r="V140" s="252">
        <f t="shared" si="51"/>
        <v>65.806451612903231</v>
      </c>
      <c r="W140" s="252">
        <f t="shared" si="51"/>
        <v>69.677419354838705</v>
      </c>
      <c r="X140" s="263"/>
      <c r="Y140" s="263"/>
      <c r="Z140" s="263"/>
      <c r="AA140" s="263"/>
      <c r="AB140" s="263"/>
      <c r="AC140" s="263"/>
      <c r="AD140" s="263"/>
      <c r="AE140" s="263"/>
      <c r="AF140" s="263"/>
      <c r="AG140" s="263"/>
      <c r="AH140" s="263"/>
      <c r="AI140" s="263"/>
      <c r="AJ140" s="263"/>
      <c r="AK140" s="208"/>
      <c r="AL140" s="202"/>
      <c r="AM140" s="202"/>
    </row>
    <row r="141" spans="1:41">
      <c r="A141" s="206">
        <v>23</v>
      </c>
      <c r="B141" s="259">
        <f>B140/100*(100-'Simulazione 10.1'!$C$63)</f>
        <v>454396.52687720925</v>
      </c>
      <c r="C141" s="259">
        <f>(B141*$X$128)+((B141*$X$128)/100*Calcoli!$D$203)</f>
        <v>415426.98885078507</v>
      </c>
      <c r="D141" s="259">
        <f t="shared" si="49"/>
        <v>415426.98885078507</v>
      </c>
      <c r="E141" s="259">
        <f t="shared" si="39"/>
        <v>38969.538026424183</v>
      </c>
      <c r="F141" s="259">
        <f t="shared" si="40"/>
        <v>1306144.4087293111</v>
      </c>
      <c r="G141" s="259">
        <f t="shared" si="43"/>
        <v>1721571.3975800963</v>
      </c>
      <c r="H141" s="259">
        <f t="shared" si="41"/>
        <v>38969.538026424183</v>
      </c>
      <c r="I141" s="259">
        <f t="shared" si="42"/>
        <v>0</v>
      </c>
      <c r="J141" s="202"/>
      <c r="K141" s="230">
        <v>6</v>
      </c>
      <c r="L141" s="252">
        <f t="shared" si="51"/>
        <v>92.903225806451616</v>
      </c>
      <c r="M141" s="252">
        <f t="shared" si="51"/>
        <v>74.838709677419359</v>
      </c>
      <c r="N141" s="252">
        <f t="shared" si="51"/>
        <v>75.168479057016256</v>
      </c>
      <c r="O141" s="252">
        <f t="shared" si="51"/>
        <v>45.321841382920759</v>
      </c>
      <c r="P141" s="252">
        <f t="shared" si="51"/>
        <v>33.589849560970038</v>
      </c>
      <c r="Q141" s="252">
        <f t="shared" si="51"/>
        <v>61.398874753261651</v>
      </c>
      <c r="R141" s="252">
        <f t="shared" si="51"/>
        <v>91.667213460625433</v>
      </c>
      <c r="S141" s="252">
        <f t="shared" si="51"/>
        <v>120.4192667641089</v>
      </c>
      <c r="T141" s="252">
        <f t="shared" si="51"/>
        <v>118.5084305294759</v>
      </c>
      <c r="U141" s="252">
        <f t="shared" si="51"/>
        <v>80</v>
      </c>
      <c r="V141" s="252">
        <f t="shared" si="51"/>
        <v>87.741935483870961</v>
      </c>
      <c r="W141" s="252">
        <f t="shared" si="51"/>
        <v>92.903225806451616</v>
      </c>
      <c r="X141" s="263"/>
      <c r="Y141" s="263"/>
      <c r="Z141" s="263"/>
      <c r="AA141" s="263"/>
      <c r="AB141" s="263"/>
      <c r="AC141" s="263"/>
      <c r="AD141" s="263"/>
      <c r="AE141" s="263"/>
      <c r="AF141" s="263"/>
      <c r="AG141" s="263"/>
      <c r="AH141" s="263"/>
      <c r="AI141" s="263"/>
      <c r="AJ141" s="263"/>
      <c r="AK141" s="208"/>
      <c r="AL141" s="202"/>
      <c r="AM141" s="202"/>
    </row>
    <row r="142" spans="1:41">
      <c r="A142" s="206">
        <v>24</v>
      </c>
      <c r="B142" s="259">
        <f>B141/100*(100-'Simulazione 10.1'!$C$63)</f>
        <v>450306.95813531434</v>
      </c>
      <c r="C142" s="259">
        <f>(B142*$X$128)+((B142*$X$128)/100*Calcoli!$D$203)</f>
        <v>411688.14595112804</v>
      </c>
      <c r="D142" s="259">
        <f t="shared" si="49"/>
        <v>411688.14595112804</v>
      </c>
      <c r="E142" s="259">
        <f t="shared" si="39"/>
        <v>38618.812184186303</v>
      </c>
      <c r="F142" s="259">
        <f t="shared" si="40"/>
        <v>1352922.5365684705</v>
      </c>
      <c r="G142" s="259">
        <f t="shared" si="43"/>
        <v>1764610.6825195986</v>
      </c>
      <c r="H142" s="259">
        <f t="shared" si="41"/>
        <v>38618.812184186303</v>
      </c>
      <c r="I142" s="259">
        <f t="shared" si="42"/>
        <v>0</v>
      </c>
      <c r="J142" s="202"/>
      <c r="K142" s="230">
        <v>7</v>
      </c>
      <c r="L142" s="252">
        <f t="shared" si="51"/>
        <v>116.12903225806451</v>
      </c>
      <c r="M142" s="252">
        <f t="shared" si="51"/>
        <v>77.704380978045435</v>
      </c>
      <c r="N142" s="252">
        <f t="shared" si="51"/>
        <v>49.724072266464304</v>
      </c>
      <c r="O142" s="252">
        <f t="shared" si="51"/>
        <v>22.648639959554401</v>
      </c>
      <c r="P142" s="252">
        <f t="shared" si="51"/>
        <v>15.437473846668524</v>
      </c>
      <c r="Q142" s="252">
        <f t="shared" si="51"/>
        <v>52.686601298871707</v>
      </c>
      <c r="R142" s="252">
        <f t="shared" si="51"/>
        <v>81.822010623066006</v>
      </c>
      <c r="S142" s="252">
        <f t="shared" si="51"/>
        <v>146.79530774843204</v>
      </c>
      <c r="T142" s="252">
        <f t="shared" si="51"/>
        <v>102.16080389194939</v>
      </c>
      <c r="U142" s="252">
        <f t="shared" si="51"/>
        <v>68.245065433852375</v>
      </c>
      <c r="V142" s="252">
        <f t="shared" si="51"/>
        <v>106.62137932024801</v>
      </c>
      <c r="W142" s="252">
        <f t="shared" si="51"/>
        <v>116.12903225806451</v>
      </c>
      <c r="X142" s="263"/>
      <c r="Y142" s="263"/>
      <c r="Z142" s="263"/>
      <c r="AA142" s="263"/>
      <c r="AB142" s="263"/>
      <c r="AC142" s="263"/>
      <c r="AD142" s="263"/>
      <c r="AE142" s="263"/>
      <c r="AF142" s="263"/>
      <c r="AG142" s="263"/>
      <c r="AH142" s="263"/>
      <c r="AI142" s="263"/>
      <c r="AJ142" s="263"/>
      <c r="AK142" s="208"/>
      <c r="AL142" s="202"/>
      <c r="AM142" s="202"/>
    </row>
    <row r="143" spans="1:41">
      <c r="A143" s="206">
        <v>25</v>
      </c>
      <c r="B143" s="259">
        <f>B142/100*(100-'Simulazione 10.1'!$C$63)</f>
        <v>446254.19551209651</v>
      </c>
      <c r="C143" s="259">
        <f>(B143*$X$128)+((B143*$X$128)/100*Calcoli!$D$203)</f>
        <v>407982.95263756788</v>
      </c>
      <c r="D143" s="259">
        <f t="shared" si="49"/>
        <v>407982.95263756788</v>
      </c>
      <c r="E143" s="259">
        <f t="shared" si="39"/>
        <v>38271.242874528631</v>
      </c>
      <c r="F143" s="259">
        <f t="shared" si="40"/>
        <v>1400742.9969450205</v>
      </c>
      <c r="G143" s="259">
        <f t="shared" si="43"/>
        <v>1808725.9495825884</v>
      </c>
      <c r="H143" s="259">
        <f t="shared" si="41"/>
        <v>38271.242874528631</v>
      </c>
      <c r="I143" s="259">
        <f t="shared" si="42"/>
        <v>0</v>
      </c>
      <c r="J143" s="202"/>
      <c r="K143" s="230">
        <v>8</v>
      </c>
      <c r="L143" s="252">
        <f t="shared" si="51"/>
        <v>106.28896163696967</v>
      </c>
      <c r="M143" s="252">
        <f t="shared" si="51"/>
        <v>59.061643370625994</v>
      </c>
      <c r="N143" s="252">
        <f t="shared" si="51"/>
        <v>30.208692083136185</v>
      </c>
      <c r="O143" s="252">
        <f t="shared" si="51"/>
        <v>6.8210174911373542</v>
      </c>
      <c r="P143" s="252">
        <f t="shared" si="51"/>
        <v>6.2111536019629341</v>
      </c>
      <c r="Q143" s="252">
        <f t="shared" si="51"/>
        <v>52.211133969737006</v>
      </c>
      <c r="R143" s="252">
        <f t="shared" si="51"/>
        <v>80.613886072129191</v>
      </c>
      <c r="S143" s="252">
        <f t="shared" si="51"/>
        <v>141.86065806882937</v>
      </c>
      <c r="T143" s="252">
        <f t="shared" si="51"/>
        <v>92.685605780081701</v>
      </c>
      <c r="U143" s="252">
        <f t="shared" si="51"/>
        <v>38.60354593635023</v>
      </c>
      <c r="V143" s="252">
        <f t="shared" si="51"/>
        <v>91.481563056824029</v>
      </c>
      <c r="W143" s="252">
        <f t="shared" si="51"/>
        <v>114.09099164569197</v>
      </c>
      <c r="X143" s="263"/>
      <c r="Y143" s="263"/>
      <c r="Z143" s="263"/>
      <c r="AA143" s="263"/>
      <c r="AB143" s="263"/>
      <c r="AC143" s="263"/>
      <c r="AD143" s="263"/>
      <c r="AE143" s="263"/>
      <c r="AF143" s="263"/>
      <c r="AG143" s="263"/>
      <c r="AH143" s="263"/>
      <c r="AI143" s="263"/>
      <c r="AJ143" s="263"/>
      <c r="AK143" s="208"/>
      <c r="AL143" s="202"/>
      <c r="AM143" s="202"/>
    </row>
    <row r="144" spans="1:41">
      <c r="A144" s="249" t="s">
        <v>246</v>
      </c>
      <c r="B144" s="267">
        <f>SUM(B119:B143)</f>
        <v>12461232.47194572</v>
      </c>
      <c r="C144" s="267">
        <f t="shared" ref="C144:I144" si="52">SUM(C119:C143)</f>
        <v>11392543.685944447</v>
      </c>
      <c r="D144" s="267">
        <f t="shared" si="52"/>
        <v>11392543.685944447</v>
      </c>
      <c r="E144" s="267">
        <f t="shared" si="52"/>
        <v>1068688.7860012732</v>
      </c>
      <c r="F144" s="267">
        <f t="shared" si="52"/>
        <v>22765220.246941764</v>
      </c>
      <c r="G144" s="267">
        <f t="shared" si="52"/>
        <v>34157763.932886213</v>
      </c>
      <c r="H144" s="267">
        <f t="shared" si="52"/>
        <v>1068688.7860012732</v>
      </c>
      <c r="I144" s="267">
        <f t="shared" si="52"/>
        <v>0</v>
      </c>
      <c r="J144" s="202"/>
      <c r="K144" s="230">
        <v>9</v>
      </c>
      <c r="L144" s="252">
        <f t="shared" si="51"/>
        <v>152.22784233365991</v>
      </c>
      <c r="M144" s="252">
        <f t="shared" si="51"/>
        <v>94.41858188813346</v>
      </c>
      <c r="N144" s="252">
        <f t="shared" si="51"/>
        <v>64.362997776423953</v>
      </c>
      <c r="O144" s="252">
        <f t="shared" si="51"/>
        <v>43.358164685012014</v>
      </c>
      <c r="P144" s="252">
        <f t="shared" si="51"/>
        <v>54.842403521499847</v>
      </c>
      <c r="Q144" s="252">
        <f t="shared" si="51"/>
        <v>126.05082036733211</v>
      </c>
      <c r="R144" s="252">
        <f t="shared" si="51"/>
        <v>168.60308953266136</v>
      </c>
      <c r="S144" s="252">
        <f t="shared" si="51"/>
        <v>205.29620595452772</v>
      </c>
      <c r="T144" s="252">
        <f t="shared" si="51"/>
        <v>162.66551203915742</v>
      </c>
      <c r="U144" s="252">
        <f t="shared" si="51"/>
        <v>67.357365201567958</v>
      </c>
      <c r="V144" s="252">
        <f t="shared" si="51"/>
        <v>133.14298809582721</v>
      </c>
      <c r="W144" s="252">
        <f t="shared" si="51"/>
        <v>155.06491745143359</v>
      </c>
      <c r="X144" s="263"/>
      <c r="Y144" s="263"/>
      <c r="Z144" s="263"/>
      <c r="AA144" s="263"/>
      <c r="AB144" s="263"/>
      <c r="AC144" s="263"/>
      <c r="AD144" s="263"/>
      <c r="AE144" s="263"/>
      <c r="AF144" s="263"/>
      <c r="AG144" s="263"/>
      <c r="AH144" s="263"/>
      <c r="AI144" s="263"/>
      <c r="AJ144" s="263"/>
      <c r="AK144" s="208"/>
      <c r="AL144" s="202"/>
      <c r="AM144" s="202"/>
    </row>
    <row r="145" spans="1:39">
      <c r="A145" s="202"/>
      <c r="B145" s="202"/>
      <c r="C145" s="202"/>
      <c r="D145" s="202"/>
      <c r="E145" s="202"/>
      <c r="F145" s="202"/>
      <c r="G145" s="202"/>
      <c r="H145" s="202"/>
      <c r="I145" s="202"/>
      <c r="J145" s="202"/>
      <c r="K145" s="230">
        <v>10</v>
      </c>
      <c r="L145" s="252">
        <f t="shared" si="51"/>
        <v>24.204866588686883</v>
      </c>
      <c r="M145" s="252">
        <f t="shared" si="51"/>
        <v>0</v>
      </c>
      <c r="N145" s="252">
        <f t="shared" si="51"/>
        <v>0</v>
      </c>
      <c r="O145" s="252">
        <f t="shared" si="51"/>
        <v>0</v>
      </c>
      <c r="P145" s="252">
        <f t="shared" si="51"/>
        <v>0</v>
      </c>
      <c r="Q145" s="252">
        <f t="shared" si="51"/>
        <v>0</v>
      </c>
      <c r="R145" s="252">
        <f t="shared" si="51"/>
        <v>0</v>
      </c>
      <c r="S145" s="252">
        <f t="shared" si="51"/>
        <v>0</v>
      </c>
      <c r="T145" s="252">
        <f t="shared" si="51"/>
        <v>0</v>
      </c>
      <c r="U145" s="252">
        <f t="shared" si="51"/>
        <v>0</v>
      </c>
      <c r="V145" s="252">
        <f t="shared" si="51"/>
        <v>10.028857682181439</v>
      </c>
      <c r="W145" s="252">
        <f t="shared" si="51"/>
        <v>26.737389877499112</v>
      </c>
      <c r="X145" s="263"/>
      <c r="Y145" s="263"/>
      <c r="Z145" s="263"/>
      <c r="AA145" s="263"/>
      <c r="AB145" s="263"/>
      <c r="AC145" s="263"/>
      <c r="AD145" s="263"/>
      <c r="AE145" s="263"/>
      <c r="AF145" s="263"/>
      <c r="AG145" s="263"/>
      <c r="AH145" s="263"/>
      <c r="AI145" s="263"/>
      <c r="AJ145" s="263"/>
      <c r="AK145" s="208"/>
      <c r="AL145" s="202"/>
      <c r="AM145" s="202"/>
    </row>
    <row r="146" spans="1:39">
      <c r="A146" s="202"/>
      <c r="B146" s="202"/>
      <c r="C146" s="202"/>
      <c r="D146" s="202"/>
      <c r="E146" s="202"/>
      <c r="F146" s="202"/>
      <c r="G146" s="202"/>
      <c r="H146" s="202"/>
      <c r="I146" s="202"/>
      <c r="J146" s="202"/>
      <c r="K146" s="230">
        <v>11</v>
      </c>
      <c r="L146" s="252">
        <f t="shared" si="51"/>
        <v>0</v>
      </c>
      <c r="M146" s="252">
        <f t="shared" si="51"/>
        <v>0</v>
      </c>
      <c r="N146" s="252">
        <f t="shared" si="51"/>
        <v>0</v>
      </c>
      <c r="O146" s="252">
        <f t="shared" si="51"/>
        <v>0</v>
      </c>
      <c r="P146" s="252">
        <f t="shared" si="51"/>
        <v>0</v>
      </c>
      <c r="Q146" s="252">
        <f t="shared" si="51"/>
        <v>0</v>
      </c>
      <c r="R146" s="252">
        <f t="shared" si="51"/>
        <v>0</v>
      </c>
      <c r="S146" s="252">
        <f t="shared" si="51"/>
        <v>0</v>
      </c>
      <c r="T146" s="252">
        <f t="shared" si="51"/>
        <v>0</v>
      </c>
      <c r="U146" s="252">
        <f t="shared" si="51"/>
        <v>0</v>
      </c>
      <c r="V146" s="252">
        <f t="shared" si="51"/>
        <v>0</v>
      </c>
      <c r="W146" s="252">
        <f t="shared" si="51"/>
        <v>0</v>
      </c>
      <c r="X146" s="263"/>
      <c r="Y146" s="263"/>
      <c r="Z146" s="263"/>
      <c r="AA146" s="263"/>
      <c r="AB146" s="263"/>
      <c r="AC146" s="263"/>
      <c r="AD146" s="263"/>
      <c r="AE146" s="263"/>
      <c r="AF146" s="263"/>
      <c r="AG146" s="263"/>
      <c r="AH146" s="263"/>
      <c r="AI146" s="263"/>
      <c r="AJ146" s="263"/>
      <c r="AK146" s="208"/>
      <c r="AL146" s="202"/>
      <c r="AM146" s="202"/>
    </row>
    <row r="147" spans="1:39">
      <c r="A147" s="202"/>
      <c r="B147" s="202"/>
      <c r="C147" s="202"/>
      <c r="D147" s="202"/>
      <c r="E147" s="202"/>
      <c r="F147" s="202"/>
      <c r="G147" s="202"/>
      <c r="H147" s="202"/>
      <c r="I147" s="202"/>
      <c r="J147" s="202"/>
      <c r="K147" s="230">
        <v>12</v>
      </c>
      <c r="L147" s="252">
        <f t="shared" si="51"/>
        <v>0</v>
      </c>
      <c r="M147" s="252">
        <f t="shared" si="51"/>
        <v>0</v>
      </c>
      <c r="N147" s="252">
        <f t="shared" si="51"/>
        <v>0</v>
      </c>
      <c r="O147" s="252">
        <f t="shared" si="51"/>
        <v>0</v>
      </c>
      <c r="P147" s="252">
        <f t="shared" si="51"/>
        <v>0</v>
      </c>
      <c r="Q147" s="252">
        <f t="shared" si="51"/>
        <v>0</v>
      </c>
      <c r="R147" s="252">
        <f t="shared" si="51"/>
        <v>0</v>
      </c>
      <c r="S147" s="252">
        <f t="shared" si="51"/>
        <v>0</v>
      </c>
      <c r="T147" s="252">
        <f t="shared" si="51"/>
        <v>0</v>
      </c>
      <c r="U147" s="252">
        <f t="shared" si="51"/>
        <v>0</v>
      </c>
      <c r="V147" s="252">
        <f t="shared" si="51"/>
        <v>0</v>
      </c>
      <c r="W147" s="252">
        <f t="shared" si="51"/>
        <v>0</v>
      </c>
      <c r="X147" s="263"/>
      <c r="Y147" s="263"/>
      <c r="Z147" s="263"/>
      <c r="AA147" s="263"/>
      <c r="AB147" s="263"/>
      <c r="AC147" s="263"/>
      <c r="AD147" s="263"/>
      <c r="AE147" s="263"/>
      <c r="AF147" s="263"/>
      <c r="AG147" s="263"/>
      <c r="AH147" s="263"/>
      <c r="AI147" s="263"/>
      <c r="AJ147" s="263"/>
      <c r="AK147" s="208"/>
      <c r="AL147" s="202"/>
      <c r="AM147" s="202"/>
    </row>
    <row r="148" spans="1:39">
      <c r="A148" s="202"/>
      <c r="B148" s="202"/>
      <c r="C148" s="202"/>
      <c r="D148" s="202"/>
      <c r="E148" s="202"/>
      <c r="F148" s="202"/>
      <c r="G148" s="202"/>
      <c r="H148" s="202"/>
      <c r="I148" s="202"/>
      <c r="J148" s="202"/>
      <c r="K148" s="230">
        <v>13</v>
      </c>
      <c r="L148" s="252">
        <f t="shared" si="51"/>
        <v>0</v>
      </c>
      <c r="M148" s="252">
        <f t="shared" si="51"/>
        <v>0</v>
      </c>
      <c r="N148" s="252">
        <f t="shared" si="51"/>
        <v>0</v>
      </c>
      <c r="O148" s="252">
        <f t="shared" si="51"/>
        <v>0</v>
      </c>
      <c r="P148" s="252">
        <f t="shared" si="51"/>
        <v>0</v>
      </c>
      <c r="Q148" s="252">
        <f t="shared" si="51"/>
        <v>0</v>
      </c>
      <c r="R148" s="252">
        <f t="shared" si="51"/>
        <v>0</v>
      </c>
      <c r="S148" s="252">
        <f t="shared" si="51"/>
        <v>0</v>
      </c>
      <c r="T148" s="252">
        <f t="shared" si="51"/>
        <v>0</v>
      </c>
      <c r="U148" s="252">
        <f t="shared" si="51"/>
        <v>0</v>
      </c>
      <c r="V148" s="252">
        <f t="shared" si="51"/>
        <v>0</v>
      </c>
      <c r="W148" s="252">
        <f t="shared" si="51"/>
        <v>0</v>
      </c>
      <c r="X148" s="263"/>
      <c r="Y148" s="263"/>
      <c r="Z148" s="263"/>
      <c r="AA148" s="263"/>
      <c r="AB148" s="263"/>
      <c r="AC148" s="263"/>
      <c r="AD148" s="263"/>
      <c r="AE148" s="263"/>
      <c r="AF148" s="263"/>
      <c r="AG148" s="263"/>
      <c r="AH148" s="263"/>
      <c r="AI148" s="263"/>
      <c r="AJ148" s="263"/>
      <c r="AK148" s="208"/>
      <c r="AL148" s="202"/>
      <c r="AM148" s="202"/>
    </row>
    <row r="149" spans="1:39">
      <c r="A149" s="202"/>
      <c r="B149" s="202"/>
      <c r="C149" s="202"/>
      <c r="D149" s="202"/>
      <c r="E149" s="202"/>
      <c r="F149" s="202"/>
      <c r="G149" s="202"/>
      <c r="H149" s="202"/>
      <c r="I149" s="202"/>
      <c r="J149" s="202"/>
      <c r="K149" s="230">
        <v>14</v>
      </c>
      <c r="L149" s="252">
        <f t="shared" si="51"/>
        <v>0</v>
      </c>
      <c r="M149" s="252">
        <f t="shared" si="51"/>
        <v>0</v>
      </c>
      <c r="N149" s="252">
        <f t="shared" si="51"/>
        <v>0</v>
      </c>
      <c r="O149" s="252">
        <f t="shared" si="51"/>
        <v>0</v>
      </c>
      <c r="P149" s="252">
        <f t="shared" si="51"/>
        <v>0</v>
      </c>
      <c r="Q149" s="252">
        <f t="shared" si="51"/>
        <v>0</v>
      </c>
      <c r="R149" s="252">
        <f t="shared" si="51"/>
        <v>0</v>
      </c>
      <c r="S149" s="252">
        <f t="shared" si="51"/>
        <v>0</v>
      </c>
      <c r="T149" s="252">
        <f t="shared" si="51"/>
        <v>0</v>
      </c>
      <c r="U149" s="252">
        <f t="shared" si="51"/>
        <v>0</v>
      </c>
      <c r="V149" s="252">
        <f t="shared" si="51"/>
        <v>0</v>
      </c>
      <c r="W149" s="252">
        <f t="shared" si="51"/>
        <v>0</v>
      </c>
      <c r="X149" s="263"/>
      <c r="Y149" s="263"/>
      <c r="Z149" s="263"/>
      <c r="AA149" s="263"/>
      <c r="AB149" s="263"/>
      <c r="AC149" s="263"/>
      <c r="AD149" s="263"/>
      <c r="AE149" s="263"/>
      <c r="AF149" s="263"/>
      <c r="AG149" s="263"/>
      <c r="AH149" s="263"/>
      <c r="AI149" s="263"/>
      <c r="AJ149" s="263"/>
      <c r="AK149" s="208"/>
      <c r="AL149" s="202"/>
      <c r="AM149" s="202"/>
    </row>
    <row r="150" spans="1:39">
      <c r="A150" s="202"/>
      <c r="B150" s="202"/>
      <c r="C150" s="202"/>
      <c r="D150" s="202"/>
      <c r="E150" s="202"/>
      <c r="F150" s="202"/>
      <c r="G150" s="202"/>
      <c r="H150" s="202"/>
      <c r="I150" s="202"/>
      <c r="J150" s="202"/>
      <c r="K150" s="230">
        <v>15</v>
      </c>
      <c r="L150" s="252">
        <f t="shared" ref="L150:W158" si="53">L85-L117</f>
        <v>5.5485643582941151</v>
      </c>
      <c r="M150" s="252">
        <f t="shared" si="53"/>
        <v>0</v>
      </c>
      <c r="N150" s="252">
        <f t="shared" si="53"/>
        <v>0</v>
      </c>
      <c r="O150" s="252">
        <f t="shared" si="53"/>
        <v>0</v>
      </c>
      <c r="P150" s="252">
        <f t="shared" si="53"/>
        <v>0</v>
      </c>
      <c r="Q150" s="252">
        <f t="shared" si="53"/>
        <v>0</v>
      </c>
      <c r="R150" s="252">
        <f t="shared" si="53"/>
        <v>0</v>
      </c>
      <c r="S150" s="252">
        <f t="shared" si="53"/>
        <v>0</v>
      </c>
      <c r="T150" s="252">
        <f t="shared" si="53"/>
        <v>0</v>
      </c>
      <c r="U150" s="252">
        <f t="shared" si="53"/>
        <v>0</v>
      </c>
      <c r="V150" s="252">
        <f t="shared" si="53"/>
        <v>0</v>
      </c>
      <c r="W150" s="252">
        <f t="shared" si="53"/>
        <v>8.4813772700453995</v>
      </c>
      <c r="X150" s="263"/>
      <c r="Y150" s="263"/>
      <c r="Z150" s="263"/>
      <c r="AA150" s="263"/>
      <c r="AB150" s="263"/>
      <c r="AC150" s="263"/>
      <c r="AD150" s="263"/>
      <c r="AE150" s="263"/>
      <c r="AF150" s="263"/>
      <c r="AG150" s="263"/>
      <c r="AH150" s="263"/>
      <c r="AI150" s="263"/>
      <c r="AJ150" s="263"/>
      <c r="AK150" s="208"/>
      <c r="AL150" s="202"/>
      <c r="AM150" s="202"/>
    </row>
    <row r="151" spans="1:39">
      <c r="A151" s="202"/>
      <c r="B151" s="202"/>
      <c r="C151" s="202"/>
      <c r="D151" s="202"/>
      <c r="E151" s="202"/>
      <c r="F151" s="202"/>
      <c r="G151" s="202"/>
      <c r="H151" s="202"/>
      <c r="I151" s="202"/>
      <c r="J151" s="202"/>
      <c r="K151" s="230">
        <v>16</v>
      </c>
      <c r="L151" s="252">
        <f t="shared" si="53"/>
        <v>29.822674853056945</v>
      </c>
      <c r="M151" s="252">
        <f t="shared" si="53"/>
        <v>0</v>
      </c>
      <c r="N151" s="252">
        <f t="shared" si="53"/>
        <v>0</v>
      </c>
      <c r="O151" s="252">
        <f t="shared" si="53"/>
        <v>0</v>
      </c>
      <c r="P151" s="252">
        <f t="shared" si="53"/>
        <v>0</v>
      </c>
      <c r="Q151" s="252">
        <f t="shared" si="53"/>
        <v>0</v>
      </c>
      <c r="R151" s="252">
        <f t="shared" si="53"/>
        <v>0</v>
      </c>
      <c r="S151" s="252">
        <f t="shared" si="53"/>
        <v>0</v>
      </c>
      <c r="T151" s="252">
        <f t="shared" si="53"/>
        <v>0</v>
      </c>
      <c r="U151" s="252">
        <f t="shared" si="53"/>
        <v>0</v>
      </c>
      <c r="V151" s="252">
        <f t="shared" si="53"/>
        <v>17.11044649080813</v>
      </c>
      <c r="W151" s="252">
        <f t="shared" si="53"/>
        <v>39.184083051322617</v>
      </c>
      <c r="X151" s="263"/>
      <c r="Y151" s="263"/>
      <c r="Z151" s="263"/>
      <c r="AA151" s="263"/>
      <c r="AB151" s="263"/>
      <c r="AC151" s="263"/>
      <c r="AD151" s="263"/>
      <c r="AE151" s="263"/>
      <c r="AF151" s="263"/>
      <c r="AG151" s="263"/>
      <c r="AH151" s="263"/>
      <c r="AI151" s="263"/>
      <c r="AJ151" s="263"/>
      <c r="AK151" s="208"/>
      <c r="AL151" s="202"/>
      <c r="AM151" s="202"/>
    </row>
    <row r="152" spans="1:39">
      <c r="A152" s="202"/>
      <c r="B152" s="202"/>
      <c r="C152" s="202"/>
      <c r="D152" s="202"/>
      <c r="E152" s="202"/>
      <c r="F152" s="202"/>
      <c r="G152" s="202"/>
      <c r="H152" s="202"/>
      <c r="I152" s="202"/>
      <c r="J152" s="202"/>
      <c r="K152" s="230">
        <v>17</v>
      </c>
      <c r="L152" s="252">
        <f t="shared" si="53"/>
        <v>92.903225806451616</v>
      </c>
      <c r="M152" s="252">
        <f t="shared" si="53"/>
        <v>54.670498880641439</v>
      </c>
      <c r="N152" s="252">
        <f t="shared" si="53"/>
        <v>14.019352991545915</v>
      </c>
      <c r="O152" s="252">
        <f t="shared" si="53"/>
        <v>0</v>
      </c>
      <c r="P152" s="252">
        <f t="shared" si="53"/>
        <v>0</v>
      </c>
      <c r="Q152" s="252">
        <f t="shared" si="53"/>
        <v>0</v>
      </c>
      <c r="R152" s="252">
        <f t="shared" si="53"/>
        <v>15.798195224076949</v>
      </c>
      <c r="S152" s="252">
        <f t="shared" si="53"/>
        <v>0</v>
      </c>
      <c r="T152" s="252">
        <f t="shared" si="53"/>
        <v>49.247447251882903</v>
      </c>
      <c r="U152" s="252">
        <f t="shared" si="53"/>
        <v>37.743436117727505</v>
      </c>
      <c r="V152" s="252">
        <f t="shared" si="53"/>
        <v>83.75208437384714</v>
      </c>
      <c r="W152" s="252">
        <f t="shared" si="53"/>
        <v>92.903225806451616</v>
      </c>
      <c r="X152" s="263"/>
      <c r="Y152" s="263"/>
      <c r="Z152" s="263"/>
      <c r="AA152" s="263"/>
      <c r="AB152" s="263"/>
      <c r="AC152" s="263"/>
      <c r="AD152" s="263"/>
      <c r="AE152" s="263"/>
      <c r="AF152" s="263"/>
      <c r="AG152" s="263"/>
      <c r="AH152" s="263"/>
      <c r="AI152" s="263"/>
      <c r="AJ152" s="263"/>
      <c r="AK152" s="208"/>
      <c r="AL152" s="202"/>
      <c r="AM152" s="202"/>
    </row>
    <row r="153" spans="1:39">
      <c r="A153" s="202"/>
      <c r="B153" s="202"/>
      <c r="C153" s="202"/>
      <c r="D153" s="202"/>
      <c r="E153" s="202"/>
      <c r="F153" s="202"/>
      <c r="G153" s="202"/>
      <c r="H153" s="202"/>
      <c r="I153" s="202"/>
      <c r="J153" s="202"/>
      <c r="K153" s="230">
        <v>18</v>
      </c>
      <c r="L153" s="252">
        <f t="shared" si="53"/>
        <v>139.35483870967741</v>
      </c>
      <c r="M153" s="252">
        <f t="shared" si="53"/>
        <v>112.25806451612904</v>
      </c>
      <c r="N153" s="252">
        <f t="shared" si="53"/>
        <v>113.82014900147875</v>
      </c>
      <c r="O153" s="252">
        <f t="shared" si="53"/>
        <v>75.65180490808909</v>
      </c>
      <c r="P153" s="252">
        <f t="shared" si="53"/>
        <v>67.552498851396322</v>
      </c>
      <c r="Q153" s="252">
        <f t="shared" si="53"/>
        <v>111.29631403516494</v>
      </c>
      <c r="R153" s="252">
        <f t="shared" si="53"/>
        <v>151.59129043718616</v>
      </c>
      <c r="S153" s="252">
        <f t="shared" si="53"/>
        <v>128.2792542160326</v>
      </c>
      <c r="T153" s="252">
        <f t="shared" si="53"/>
        <v>179.14405098341345</v>
      </c>
      <c r="U153" s="252">
        <f t="shared" si="53"/>
        <v>120</v>
      </c>
      <c r="V153" s="252">
        <f t="shared" si="53"/>
        <v>131.61290322580646</v>
      </c>
      <c r="W153" s="252">
        <f t="shared" si="53"/>
        <v>139.35483870967741</v>
      </c>
      <c r="X153" s="263"/>
      <c r="Y153" s="263"/>
      <c r="Z153" s="263"/>
      <c r="AA153" s="263"/>
      <c r="AB153" s="263"/>
      <c r="AC153" s="263"/>
      <c r="AD153" s="263"/>
      <c r="AE153" s="263"/>
      <c r="AF153" s="263"/>
      <c r="AG153" s="263"/>
      <c r="AH153" s="263"/>
      <c r="AI153" s="263"/>
      <c r="AJ153" s="263"/>
      <c r="AK153" s="208"/>
      <c r="AL153" s="202"/>
      <c r="AM153" s="202"/>
    </row>
    <row r="154" spans="1:39">
      <c r="A154" s="202"/>
      <c r="B154" s="202"/>
      <c r="C154" s="202"/>
      <c r="D154" s="202"/>
      <c r="E154" s="202"/>
      <c r="F154" s="202"/>
      <c r="G154" s="202"/>
      <c r="H154" s="202"/>
      <c r="I154" s="202"/>
      <c r="J154" s="202"/>
      <c r="K154" s="230">
        <v>19</v>
      </c>
      <c r="L154" s="252">
        <f t="shared" si="53"/>
        <v>209.03225806451613</v>
      </c>
      <c r="M154" s="252">
        <f t="shared" si="53"/>
        <v>168.38709677419354</v>
      </c>
      <c r="N154" s="252">
        <f t="shared" si="53"/>
        <v>185.80645161290323</v>
      </c>
      <c r="O154" s="252">
        <f t="shared" si="53"/>
        <v>192.36021960633735</v>
      </c>
      <c r="P154" s="252">
        <f t="shared" si="53"/>
        <v>201.04798745090102</v>
      </c>
      <c r="Q154" s="252">
        <f t="shared" si="53"/>
        <v>264.09328263635479</v>
      </c>
      <c r="R154" s="252">
        <f t="shared" si="53"/>
        <v>332.26827594528879</v>
      </c>
      <c r="S154" s="252">
        <f t="shared" si="53"/>
        <v>327.85735366458044</v>
      </c>
      <c r="T154" s="252">
        <f t="shared" si="53"/>
        <v>304.83870967741933</v>
      </c>
      <c r="U154" s="252">
        <f t="shared" si="53"/>
        <v>180</v>
      </c>
      <c r="V154" s="252">
        <f t="shared" si="53"/>
        <v>197.41935483870967</v>
      </c>
      <c r="W154" s="252">
        <f t="shared" si="53"/>
        <v>209.03225806451613</v>
      </c>
      <c r="X154" s="263"/>
      <c r="Y154" s="263"/>
      <c r="Z154" s="263"/>
      <c r="AA154" s="263"/>
      <c r="AB154" s="263"/>
      <c r="AC154" s="263"/>
      <c r="AD154" s="263"/>
      <c r="AE154" s="263"/>
      <c r="AF154" s="263"/>
      <c r="AG154" s="263"/>
      <c r="AH154" s="263"/>
      <c r="AI154" s="263"/>
      <c r="AJ154" s="263"/>
      <c r="AK154" s="208"/>
      <c r="AL154" s="202"/>
      <c r="AM154" s="202"/>
    </row>
    <row r="155" spans="1:39">
      <c r="A155" s="202"/>
      <c r="B155" s="202"/>
      <c r="C155" s="202"/>
      <c r="D155" s="202"/>
      <c r="E155" s="202"/>
      <c r="F155" s="202"/>
      <c r="G155" s="202"/>
      <c r="H155" s="202"/>
      <c r="I155" s="202"/>
      <c r="J155" s="202"/>
      <c r="K155" s="230">
        <v>20</v>
      </c>
      <c r="L155" s="252">
        <f t="shared" si="53"/>
        <v>209.03225806451613</v>
      </c>
      <c r="M155" s="252">
        <f t="shared" si="53"/>
        <v>168.38709677419354</v>
      </c>
      <c r="N155" s="252">
        <f t="shared" si="53"/>
        <v>185.80645161290323</v>
      </c>
      <c r="O155" s="252">
        <f t="shared" si="53"/>
        <v>194.51612903225808</v>
      </c>
      <c r="P155" s="252">
        <f t="shared" si="53"/>
        <v>232.25806451612902</v>
      </c>
      <c r="Q155" s="252">
        <f t="shared" si="53"/>
        <v>310.64516129032256</v>
      </c>
      <c r="R155" s="252">
        <f t="shared" si="53"/>
        <v>371.61290322580646</v>
      </c>
      <c r="S155" s="252">
        <f t="shared" si="53"/>
        <v>339.67741935483872</v>
      </c>
      <c r="T155" s="252">
        <f t="shared" si="53"/>
        <v>304.83870967741933</v>
      </c>
      <c r="U155" s="252">
        <f t="shared" si="53"/>
        <v>180</v>
      </c>
      <c r="V155" s="252">
        <f t="shared" si="53"/>
        <v>197.41935483870967</v>
      </c>
      <c r="W155" s="252">
        <f t="shared" si="53"/>
        <v>209.03225806451613</v>
      </c>
      <c r="X155" s="263"/>
      <c r="Y155" s="263"/>
      <c r="Z155" s="263"/>
      <c r="AA155" s="263"/>
      <c r="AB155" s="263"/>
      <c r="AC155" s="263"/>
      <c r="AD155" s="263"/>
      <c r="AE155" s="263"/>
      <c r="AF155" s="263"/>
      <c r="AG155" s="263"/>
      <c r="AH155" s="263"/>
      <c r="AI155" s="263"/>
      <c r="AJ155" s="263"/>
      <c r="AK155" s="208"/>
      <c r="AL155" s="202"/>
      <c r="AM155" s="202"/>
    </row>
    <row r="156" spans="1:39">
      <c r="A156" s="202"/>
      <c r="B156" s="202"/>
      <c r="C156" s="202"/>
      <c r="D156" s="202"/>
      <c r="E156" s="202"/>
      <c r="F156" s="202"/>
      <c r="G156" s="202"/>
      <c r="H156" s="202"/>
      <c r="I156" s="202"/>
      <c r="J156" s="202"/>
      <c r="K156" s="230">
        <v>21</v>
      </c>
      <c r="L156" s="252">
        <f t="shared" si="53"/>
        <v>116.12903225806451</v>
      </c>
      <c r="M156" s="252">
        <f t="shared" si="53"/>
        <v>93.548387096774192</v>
      </c>
      <c r="N156" s="252">
        <f t="shared" si="53"/>
        <v>103.2258064516129</v>
      </c>
      <c r="O156" s="252">
        <f t="shared" si="53"/>
        <v>108.06451612903226</v>
      </c>
      <c r="P156" s="252">
        <f t="shared" si="53"/>
        <v>129.03225806451613</v>
      </c>
      <c r="Q156" s="252">
        <f t="shared" si="53"/>
        <v>172.58064516129033</v>
      </c>
      <c r="R156" s="252">
        <f t="shared" si="53"/>
        <v>206.45161290322579</v>
      </c>
      <c r="S156" s="252">
        <f t="shared" si="53"/>
        <v>188.70967741935485</v>
      </c>
      <c r="T156" s="252">
        <f t="shared" si="53"/>
        <v>169.35483870967741</v>
      </c>
      <c r="U156" s="252">
        <f t="shared" si="53"/>
        <v>100</v>
      </c>
      <c r="V156" s="252">
        <f t="shared" si="53"/>
        <v>109.6774193548387</v>
      </c>
      <c r="W156" s="252">
        <f t="shared" si="53"/>
        <v>116.12903225806451</v>
      </c>
      <c r="X156" s="263"/>
      <c r="Y156" s="263"/>
      <c r="Z156" s="263"/>
      <c r="AA156" s="263"/>
      <c r="AB156" s="263"/>
      <c r="AC156" s="263"/>
      <c r="AD156" s="263"/>
      <c r="AE156" s="263"/>
      <c r="AF156" s="263"/>
      <c r="AG156" s="263"/>
      <c r="AH156" s="263"/>
      <c r="AI156" s="263"/>
      <c r="AJ156" s="263"/>
      <c r="AK156" s="208"/>
      <c r="AL156" s="202"/>
      <c r="AM156" s="202"/>
    </row>
    <row r="157" spans="1:39">
      <c r="A157" s="202"/>
      <c r="B157" s="202"/>
      <c r="C157" s="202"/>
      <c r="D157" s="202"/>
      <c r="E157" s="202"/>
      <c r="F157" s="202"/>
      <c r="G157" s="202"/>
      <c r="H157" s="202"/>
      <c r="I157" s="202"/>
      <c r="J157" s="202"/>
      <c r="K157" s="230">
        <v>22</v>
      </c>
      <c r="L157" s="252">
        <f t="shared" si="53"/>
        <v>92.903225806451616</v>
      </c>
      <c r="M157" s="252">
        <f t="shared" si="53"/>
        <v>74.838709677419359</v>
      </c>
      <c r="N157" s="252">
        <f t="shared" si="53"/>
        <v>82.58064516129032</v>
      </c>
      <c r="O157" s="252">
        <f t="shared" si="53"/>
        <v>86.451612903225808</v>
      </c>
      <c r="P157" s="252">
        <f t="shared" si="53"/>
        <v>103.2258064516129</v>
      </c>
      <c r="Q157" s="252">
        <f t="shared" si="53"/>
        <v>138.06451612903226</v>
      </c>
      <c r="R157" s="252">
        <f t="shared" si="53"/>
        <v>165.16129032258064</v>
      </c>
      <c r="S157" s="252">
        <f t="shared" si="53"/>
        <v>150.96774193548387</v>
      </c>
      <c r="T157" s="252">
        <f t="shared" si="53"/>
        <v>135.48387096774192</v>
      </c>
      <c r="U157" s="252">
        <f t="shared" si="53"/>
        <v>80</v>
      </c>
      <c r="V157" s="252">
        <f t="shared" si="53"/>
        <v>87.741935483870961</v>
      </c>
      <c r="W157" s="252">
        <f t="shared" si="53"/>
        <v>92.903225806451616</v>
      </c>
      <c r="X157" s="263"/>
      <c r="Y157" s="263"/>
      <c r="Z157" s="263"/>
      <c r="AA157" s="263"/>
      <c r="AB157" s="263"/>
      <c r="AC157" s="263"/>
      <c r="AD157" s="263"/>
      <c r="AE157" s="263"/>
      <c r="AF157" s="263"/>
      <c r="AG157" s="263"/>
      <c r="AH157" s="263"/>
      <c r="AI157" s="263"/>
      <c r="AJ157" s="263"/>
      <c r="AK157" s="208"/>
      <c r="AL157" s="202"/>
      <c r="AM157" s="202"/>
    </row>
    <row r="158" spans="1:39" ht="13.5" thickBot="1">
      <c r="A158" s="202"/>
      <c r="B158" s="202"/>
      <c r="C158" s="202"/>
      <c r="D158" s="202"/>
      <c r="E158" s="202"/>
      <c r="F158" s="202"/>
      <c r="G158" s="202"/>
      <c r="H158" s="202"/>
      <c r="I158" s="202"/>
      <c r="J158" s="202"/>
      <c r="K158" s="239">
        <v>23</v>
      </c>
      <c r="L158" s="268">
        <f t="shared" si="53"/>
        <v>69.677419354838705</v>
      </c>
      <c r="M158" s="268">
        <f t="shared" si="53"/>
        <v>56.12903225806452</v>
      </c>
      <c r="N158" s="268">
        <f t="shared" si="53"/>
        <v>61.935483870967744</v>
      </c>
      <c r="O158" s="268">
        <f t="shared" si="53"/>
        <v>64.838709677419359</v>
      </c>
      <c r="P158" s="268">
        <f t="shared" si="53"/>
        <v>77.41935483870968</v>
      </c>
      <c r="Q158" s="268">
        <f t="shared" si="53"/>
        <v>103.54838709677419</v>
      </c>
      <c r="R158" s="268">
        <f t="shared" si="53"/>
        <v>123.87096774193549</v>
      </c>
      <c r="S158" s="268">
        <f t="shared" si="53"/>
        <v>113.2258064516129</v>
      </c>
      <c r="T158" s="268">
        <f t="shared" si="53"/>
        <v>101.61290322580645</v>
      </c>
      <c r="U158" s="268">
        <f t="shared" si="53"/>
        <v>60</v>
      </c>
      <c r="V158" s="268">
        <f t="shared" si="53"/>
        <v>65.806451612903231</v>
      </c>
      <c r="W158" s="268">
        <f t="shared" si="53"/>
        <v>69.677419354838705</v>
      </c>
      <c r="X158" s="263"/>
      <c r="Y158" s="263"/>
      <c r="Z158" s="263"/>
      <c r="AA158" s="263"/>
      <c r="AB158" s="263"/>
      <c r="AC158" s="263"/>
      <c r="AD158" s="263"/>
      <c r="AE158" s="263"/>
      <c r="AF158" s="263"/>
      <c r="AG158" s="263"/>
      <c r="AH158" s="263"/>
      <c r="AI158" s="263"/>
      <c r="AJ158" s="263"/>
      <c r="AK158" s="208"/>
      <c r="AL158" s="202"/>
      <c r="AM158" s="202"/>
    </row>
    <row r="159" spans="1:39">
      <c r="A159" s="202"/>
      <c r="B159" s="202"/>
      <c r="C159" s="202"/>
      <c r="D159" s="202"/>
      <c r="E159" s="202"/>
      <c r="F159" s="202"/>
      <c r="G159" s="202"/>
      <c r="H159" s="202"/>
      <c r="I159" s="202"/>
      <c r="J159" s="528" t="s">
        <v>232</v>
      </c>
      <c r="K159" s="529"/>
      <c r="L159" s="269">
        <f>SUM(L135:L158)</f>
        <v>1781.3187162222805</v>
      </c>
      <c r="M159" s="269">
        <f t="shared" ref="M159:W159" si="54">SUM(M135:M158)</f>
        <v>1296.1776857626076</v>
      </c>
      <c r="N159" s="269">
        <f t="shared" si="54"/>
        <v>1255.6908399502588</v>
      </c>
      <c r="O159" s="269">
        <f t="shared" si="54"/>
        <v>1140.6464423898176</v>
      </c>
      <c r="P159" s="269">
        <f t="shared" si="54"/>
        <v>1256.12142467123</v>
      </c>
      <c r="Q159" s="269">
        <f t="shared" si="54"/>
        <v>1838.8915175103248</v>
      </c>
      <c r="R159" s="269">
        <f t="shared" si="54"/>
        <v>2337.5555627072531</v>
      </c>
      <c r="S159" s="269">
        <f t="shared" si="54"/>
        <v>2386.5323069357391</v>
      </c>
      <c r="T159" s="269">
        <f t="shared" si="54"/>
        <v>2194.7344311211218</v>
      </c>
      <c r="U159" s="269">
        <f t="shared" si="54"/>
        <v>1291.9494126894979</v>
      </c>
      <c r="V159" s="269">
        <f t="shared" si="54"/>
        <v>1626.653448051994</v>
      </c>
      <c r="W159" s="269">
        <f t="shared" si="54"/>
        <v>1806.7845657476057</v>
      </c>
      <c r="X159" s="270" t="s">
        <v>233</v>
      </c>
      <c r="Y159" s="263"/>
      <c r="Z159" s="263"/>
      <c r="AA159" s="263"/>
      <c r="AB159" s="263"/>
      <c r="AC159" s="263"/>
      <c r="AD159" s="263"/>
      <c r="AE159" s="263"/>
      <c r="AF159" s="263"/>
      <c r="AG159" s="263"/>
      <c r="AH159" s="263"/>
      <c r="AI159" s="263"/>
      <c r="AJ159" s="263"/>
      <c r="AK159" s="256"/>
      <c r="AL159" s="202"/>
      <c r="AM159" s="202"/>
    </row>
    <row r="160" spans="1:39" ht="13.5" thickBot="1">
      <c r="A160" s="202"/>
      <c r="B160" s="202"/>
      <c r="C160" s="202"/>
      <c r="D160" s="202"/>
      <c r="E160" s="202"/>
      <c r="F160" s="202"/>
      <c r="G160" s="202"/>
      <c r="H160" s="202"/>
      <c r="I160" s="202"/>
      <c r="J160" s="530" t="s">
        <v>234</v>
      </c>
      <c r="K160" s="531"/>
      <c r="L160" s="271">
        <f>L159*31</f>
        <v>55220.880202890694</v>
      </c>
      <c r="M160" s="271">
        <f>M159*28</f>
        <v>36292.975201353009</v>
      </c>
      <c r="N160" s="271">
        <f>N159*31</f>
        <v>38926.416038458025</v>
      </c>
      <c r="O160" s="271">
        <f>O159*30</f>
        <v>34219.393271694527</v>
      </c>
      <c r="P160" s="271">
        <f>P159*31</f>
        <v>38939.764164808126</v>
      </c>
      <c r="Q160" s="271">
        <f>Q159*30</f>
        <v>55166.745525309743</v>
      </c>
      <c r="R160" s="271">
        <f>R159*31</f>
        <v>72464.222443924853</v>
      </c>
      <c r="S160" s="271">
        <f>S159*31</f>
        <v>73982.501515007913</v>
      </c>
      <c r="T160" s="271">
        <f>T159*30</f>
        <v>65842.032933633658</v>
      </c>
      <c r="U160" s="271">
        <f>U159*31</f>
        <v>40050.431793374431</v>
      </c>
      <c r="V160" s="271">
        <f>V159*30</f>
        <v>48799.603441559819</v>
      </c>
      <c r="W160" s="272">
        <f>W159*31</f>
        <v>56010.321538175776</v>
      </c>
      <c r="X160" s="273">
        <f>SUM(L160:W160)</f>
        <v>615915.28807019058</v>
      </c>
      <c r="Y160" s="263"/>
      <c r="Z160" s="263"/>
      <c r="AA160" s="263"/>
      <c r="AB160" s="263"/>
      <c r="AC160" s="263"/>
      <c r="AD160" s="263"/>
      <c r="AE160" s="263"/>
      <c r="AF160" s="263"/>
      <c r="AG160" s="263"/>
      <c r="AH160" s="263"/>
      <c r="AI160" s="263"/>
      <c r="AJ160" s="263"/>
      <c r="AK160" s="263"/>
      <c r="AL160" s="202"/>
      <c r="AM160" s="202"/>
    </row>
    <row r="161" spans="1:39">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56"/>
      <c r="W161" s="256"/>
      <c r="X161" s="245"/>
      <c r="Y161" s="245"/>
      <c r="Z161" s="245"/>
      <c r="AA161" s="245"/>
      <c r="AB161" s="245"/>
      <c r="AC161" s="245"/>
      <c r="AD161" s="245"/>
      <c r="AE161" s="245"/>
      <c r="AF161" s="245"/>
      <c r="AG161" s="245"/>
      <c r="AH161" s="245"/>
      <c r="AI161" s="245"/>
      <c r="AJ161" s="245"/>
      <c r="AK161" s="274"/>
      <c r="AL161" s="202"/>
      <c r="AM161" s="202"/>
    </row>
    <row r="162" spans="1:39">
      <c r="A162" s="202"/>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row>
    <row r="163" spans="1:39" ht="13.5" thickBot="1">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row>
    <row r="164" spans="1:39">
      <c r="A164" s="202"/>
      <c r="B164" s="202"/>
      <c r="C164" s="202"/>
      <c r="D164" s="202"/>
      <c r="E164" s="202"/>
      <c r="F164" s="202"/>
      <c r="G164" s="202"/>
      <c r="H164" s="202"/>
      <c r="I164" s="202"/>
      <c r="J164" s="289" t="s">
        <v>248</v>
      </c>
      <c r="K164" s="299">
        <f>IF(Calcoli!$T$49=2,0,'Simulazione 10.1'!C36)</f>
        <v>1000000</v>
      </c>
      <c r="L164" s="290"/>
      <c r="M164" s="290" t="s">
        <v>252</v>
      </c>
      <c r="N164" s="299">
        <f>K168+L168+M168+N168+O168+P168+P170+O170+N170+M170+L170+K170</f>
        <v>1000000</v>
      </c>
      <c r="O164" s="290"/>
      <c r="P164" s="291"/>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row>
    <row r="165" spans="1:39">
      <c r="A165" s="202"/>
      <c r="B165" s="202"/>
      <c r="C165" s="202"/>
      <c r="D165" s="202"/>
      <c r="E165" s="202"/>
      <c r="F165" s="202"/>
      <c r="G165" s="202"/>
      <c r="H165" s="202"/>
      <c r="I165" s="202"/>
      <c r="J165" s="292"/>
      <c r="K165" s="208"/>
      <c r="L165" s="208"/>
      <c r="M165" s="208"/>
      <c r="N165" s="208"/>
      <c r="O165" s="208"/>
      <c r="P165" s="293"/>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row>
    <row r="166" spans="1:39">
      <c r="A166" s="202"/>
      <c r="B166" s="202"/>
      <c r="C166" s="202"/>
      <c r="D166" s="202"/>
      <c r="E166" s="202"/>
      <c r="F166" s="202"/>
      <c r="G166" s="202"/>
      <c r="H166" s="202"/>
      <c r="I166" s="202"/>
      <c r="J166" s="292"/>
      <c r="K166" s="208"/>
      <c r="L166" s="208"/>
      <c r="M166" s="208"/>
      <c r="N166" s="208"/>
      <c r="O166" s="208"/>
      <c r="P166" s="293"/>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row>
    <row r="167" spans="1:39">
      <c r="A167" s="202"/>
      <c r="B167" s="202"/>
      <c r="C167" s="202"/>
      <c r="D167" s="202"/>
      <c r="E167" s="202"/>
      <c r="F167" s="202"/>
      <c r="G167" s="202"/>
      <c r="H167" s="202"/>
      <c r="I167" s="202"/>
      <c r="J167" s="292"/>
      <c r="K167" s="278" t="s">
        <v>215</v>
      </c>
      <c r="L167" s="278" t="s">
        <v>216</v>
      </c>
      <c r="M167" s="278" t="s">
        <v>217</v>
      </c>
      <c r="N167" s="278" t="s">
        <v>249</v>
      </c>
      <c r="O167" s="278" t="s">
        <v>219</v>
      </c>
      <c r="P167" s="298" t="s">
        <v>220</v>
      </c>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row>
    <row r="168" spans="1:39">
      <c r="A168" s="202"/>
      <c r="B168" s="202"/>
      <c r="C168" s="202"/>
      <c r="D168" s="202"/>
      <c r="E168" s="202"/>
      <c r="F168" s="202"/>
      <c r="G168" s="202"/>
      <c r="H168" s="202"/>
      <c r="I168" s="202"/>
      <c r="J168" s="292"/>
      <c r="K168" s="305">
        <f t="shared" ref="K168:P168" si="55">$K$164/100*K172</f>
        <v>72000</v>
      </c>
      <c r="L168" s="305">
        <f t="shared" si="55"/>
        <v>58000</v>
      </c>
      <c r="M168" s="305">
        <f t="shared" si="55"/>
        <v>64000</v>
      </c>
      <c r="N168" s="305">
        <f t="shared" si="55"/>
        <v>67000</v>
      </c>
      <c r="O168" s="305">
        <f t="shared" si="55"/>
        <v>80000</v>
      </c>
      <c r="P168" s="306">
        <f t="shared" si="55"/>
        <v>107000</v>
      </c>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row>
    <row r="169" spans="1:39">
      <c r="A169" s="202"/>
      <c r="B169" s="202"/>
      <c r="C169" s="202"/>
      <c r="D169" s="202"/>
      <c r="E169" s="202"/>
      <c r="F169" s="202"/>
      <c r="G169" s="202"/>
      <c r="H169" s="202"/>
      <c r="I169" s="202"/>
      <c r="J169" s="292"/>
      <c r="K169" s="278" t="s">
        <v>221</v>
      </c>
      <c r="L169" s="278" t="s">
        <v>222</v>
      </c>
      <c r="M169" s="278" t="s">
        <v>223</v>
      </c>
      <c r="N169" s="278" t="s">
        <v>224</v>
      </c>
      <c r="O169" s="278" t="s">
        <v>250</v>
      </c>
      <c r="P169" s="298" t="s">
        <v>226</v>
      </c>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row>
    <row r="170" spans="1:39" ht="13.5" thickBot="1">
      <c r="A170" s="202"/>
      <c r="B170" s="202"/>
      <c r="C170" s="202"/>
      <c r="D170" s="202"/>
      <c r="E170" s="202"/>
      <c r="F170" s="202"/>
      <c r="G170" s="202"/>
      <c r="H170" s="202"/>
      <c r="I170" s="202"/>
      <c r="J170" s="294"/>
      <c r="K170" s="307">
        <f t="shared" ref="K170:P170" si="56">$K$164/100*K173</f>
        <v>128000</v>
      </c>
      <c r="L170" s="307">
        <f t="shared" si="56"/>
        <v>117000</v>
      </c>
      <c r="M170" s="307">
        <f t="shared" si="56"/>
        <v>105000</v>
      </c>
      <c r="N170" s="307">
        <f t="shared" si="56"/>
        <v>62000</v>
      </c>
      <c r="O170" s="307">
        <f t="shared" si="56"/>
        <v>68000</v>
      </c>
      <c r="P170" s="308">
        <f t="shared" si="56"/>
        <v>72000</v>
      </c>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row>
    <row r="171" spans="1:39">
      <c r="A171" s="202"/>
      <c r="B171" s="202"/>
      <c r="C171" s="202"/>
      <c r="D171" s="202"/>
      <c r="E171" s="202"/>
      <c r="F171" s="202"/>
      <c r="G171" s="202"/>
      <c r="H171" s="202"/>
      <c r="I171" s="202"/>
      <c r="J171" s="292"/>
      <c r="K171" s="208"/>
      <c r="L171" s="208"/>
      <c r="M171" s="208"/>
      <c r="N171" s="208"/>
      <c r="O171" s="208"/>
      <c r="P171" s="293"/>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row>
    <row r="172" spans="1:39">
      <c r="A172" s="202"/>
      <c r="B172" s="202"/>
      <c r="C172" s="202"/>
      <c r="D172" s="202"/>
      <c r="E172" s="202"/>
      <c r="F172" s="202"/>
      <c r="G172" s="202"/>
      <c r="H172" s="202"/>
      <c r="I172" s="202"/>
      <c r="J172" s="292"/>
      <c r="K172" s="208">
        <v>7.2</v>
      </c>
      <c r="L172" s="208">
        <v>5.8</v>
      </c>
      <c r="M172" s="208">
        <v>6.4</v>
      </c>
      <c r="N172" s="208">
        <v>6.7</v>
      </c>
      <c r="O172" s="208">
        <v>8</v>
      </c>
      <c r="P172" s="293">
        <v>10.7</v>
      </c>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row>
    <row r="173" spans="1:39" ht="13.5" thickBot="1">
      <c r="J173" s="295"/>
      <c r="K173" s="296">
        <v>12.8</v>
      </c>
      <c r="L173" s="296">
        <v>11.7</v>
      </c>
      <c r="M173" s="296">
        <v>10.5</v>
      </c>
      <c r="N173" s="296">
        <v>6.2</v>
      </c>
      <c r="O173" s="296">
        <v>6.8</v>
      </c>
      <c r="P173" s="297">
        <v>7.2</v>
      </c>
    </row>
    <row r="175" spans="1:39" ht="13.5" thickBot="1"/>
    <row r="176" spans="1:39">
      <c r="J176" s="289" t="s">
        <v>254</v>
      </c>
      <c r="K176" s="309">
        <f>D115</f>
        <v>554389</v>
      </c>
      <c r="L176" s="290"/>
      <c r="M176" s="290" t="s">
        <v>252</v>
      </c>
      <c r="N176" s="299">
        <f>K180+L180+M180+N180+O180+P180+P182+O182+N182+M182+L182+K182</f>
        <v>554389</v>
      </c>
      <c r="O176" s="290"/>
      <c r="P176" s="291"/>
    </row>
    <row r="177" spans="7:16">
      <c r="J177" s="292"/>
      <c r="K177" s="208"/>
      <c r="L177" s="208"/>
      <c r="M177" s="208"/>
      <c r="N177" s="208"/>
      <c r="O177" s="208"/>
      <c r="P177" s="293"/>
    </row>
    <row r="178" spans="7:16">
      <c r="J178" s="292"/>
      <c r="K178" s="208"/>
      <c r="L178" s="208"/>
      <c r="M178" s="208"/>
      <c r="N178" s="208"/>
      <c r="O178" s="208"/>
      <c r="P178" s="293"/>
    </row>
    <row r="179" spans="7:16">
      <c r="J179" s="292"/>
      <c r="K179" s="302" t="s">
        <v>215</v>
      </c>
      <c r="L179" s="302" t="s">
        <v>216</v>
      </c>
      <c r="M179" s="302" t="s">
        <v>217</v>
      </c>
      <c r="N179" s="302" t="s">
        <v>249</v>
      </c>
      <c r="O179" s="302" t="s">
        <v>219</v>
      </c>
      <c r="P179" s="298" t="s">
        <v>220</v>
      </c>
    </row>
    <row r="180" spans="7:16">
      <c r="J180" s="292"/>
      <c r="K180" s="305">
        <f t="shared" ref="K180:P180" si="57">$K$176/100*K184</f>
        <v>17740.448</v>
      </c>
      <c r="L180" s="305">
        <f t="shared" si="57"/>
        <v>24393.116000000002</v>
      </c>
      <c r="M180" s="305">
        <f t="shared" si="57"/>
        <v>42687.953000000001</v>
      </c>
      <c r="N180" s="305">
        <f t="shared" si="57"/>
        <v>55993.289000000004</v>
      </c>
      <c r="O180" s="305">
        <f t="shared" si="57"/>
        <v>68744.236000000004</v>
      </c>
      <c r="P180" s="305">
        <f t="shared" si="57"/>
        <v>72624.959000000003</v>
      </c>
    </row>
    <row r="181" spans="7:16">
      <c r="G181" s="248"/>
      <c r="H181" s="248"/>
      <c r="I181" s="248"/>
      <c r="J181" s="292"/>
      <c r="K181" s="302" t="s">
        <v>221</v>
      </c>
      <c r="L181" s="302" t="s">
        <v>222</v>
      </c>
      <c r="M181" s="302" t="s">
        <v>223</v>
      </c>
      <c r="N181" s="302" t="s">
        <v>224</v>
      </c>
      <c r="O181" s="302" t="s">
        <v>250</v>
      </c>
      <c r="P181" s="298" t="s">
        <v>226</v>
      </c>
    </row>
    <row r="182" spans="7:16" ht="13.5" thickBot="1">
      <c r="G182" s="248"/>
      <c r="H182" s="248"/>
      <c r="I182" s="248"/>
      <c r="J182" s="294"/>
      <c r="K182" s="307">
        <f t="shared" ref="K182:P182" si="58">$K$176/100*K185</f>
        <v>78723.237999999998</v>
      </c>
      <c r="L182" s="307">
        <f t="shared" si="58"/>
        <v>67081.069000000003</v>
      </c>
      <c r="M182" s="307">
        <f t="shared" si="58"/>
        <v>51003.788</v>
      </c>
      <c r="N182" s="307">
        <f t="shared" si="58"/>
        <v>38252.841000000008</v>
      </c>
      <c r="O182" s="307">
        <f t="shared" si="58"/>
        <v>20512.393000000004</v>
      </c>
      <c r="P182" s="307">
        <f t="shared" si="58"/>
        <v>16631.670000000002</v>
      </c>
    </row>
    <row r="183" spans="7:16">
      <c r="G183" s="248"/>
      <c r="H183" s="248"/>
      <c r="I183" s="248"/>
      <c r="J183" s="289"/>
      <c r="K183" s="290"/>
      <c r="L183" s="290"/>
      <c r="M183" s="290"/>
      <c r="N183" s="290"/>
      <c r="O183" s="290"/>
      <c r="P183" s="291"/>
    </row>
    <row r="184" spans="7:16">
      <c r="G184" s="248"/>
      <c r="H184" s="248"/>
      <c r="I184" s="248"/>
      <c r="J184" s="292"/>
      <c r="K184" s="311">
        <v>3.2</v>
      </c>
      <c r="L184" s="311">
        <v>4.4000000000000004</v>
      </c>
      <c r="M184" s="311">
        <v>7.7</v>
      </c>
      <c r="N184" s="311">
        <v>10.1</v>
      </c>
      <c r="O184" s="311">
        <v>12.4</v>
      </c>
      <c r="P184" s="312">
        <v>13.1</v>
      </c>
    </row>
    <row r="185" spans="7:16" ht="13.5" thickBot="1">
      <c r="G185" s="248"/>
      <c r="H185" s="248"/>
      <c r="I185" s="248"/>
      <c r="J185" s="295"/>
      <c r="K185" s="313">
        <v>14.2</v>
      </c>
      <c r="L185" s="313">
        <v>12.1</v>
      </c>
      <c r="M185" s="313">
        <v>9.1999999999999993</v>
      </c>
      <c r="N185" s="313">
        <v>6.9</v>
      </c>
      <c r="O185" s="313">
        <v>3.7</v>
      </c>
      <c r="P185" s="314">
        <v>3</v>
      </c>
    </row>
    <row r="186" spans="7:16" ht="42.75" customHeight="1">
      <c r="G186" s="248"/>
      <c r="H186" s="248"/>
      <c r="I186" s="248"/>
      <c r="J186" s="248"/>
      <c r="K186" s="248"/>
      <c r="L186" s="248"/>
      <c r="M186" s="248"/>
      <c r="N186" s="248"/>
      <c r="O186" s="248"/>
    </row>
    <row r="187" spans="7:16">
      <c r="G187" s="248"/>
      <c r="H187" s="248"/>
      <c r="I187" s="248"/>
      <c r="J187" s="248"/>
      <c r="K187" s="311"/>
      <c r="L187" s="248"/>
      <c r="M187" s="248"/>
      <c r="N187" s="248"/>
      <c r="O187" s="248"/>
    </row>
    <row r="188" spans="7:16">
      <c r="G188" s="248"/>
      <c r="H188" s="248"/>
      <c r="I188" s="248"/>
      <c r="J188" s="248"/>
      <c r="K188" s="248"/>
      <c r="L188" s="248"/>
      <c r="M188" s="248"/>
      <c r="N188" s="248"/>
      <c r="O188" s="248"/>
      <c r="P188" s="248"/>
    </row>
    <row r="189" spans="7:16">
      <c r="G189" s="248"/>
      <c r="H189" s="248"/>
      <c r="I189" s="248"/>
      <c r="J189" s="315"/>
      <c r="K189" s="315"/>
      <c r="L189" s="315"/>
      <c r="M189" s="315"/>
      <c r="N189" s="315"/>
      <c r="O189" s="315"/>
      <c r="P189" s="248"/>
    </row>
    <row r="190" spans="7:16">
      <c r="G190" s="248"/>
      <c r="H190" s="248"/>
      <c r="I190" s="248"/>
      <c r="J190" s="316"/>
      <c r="K190" s="316"/>
      <c r="L190" s="316"/>
      <c r="M190" s="316"/>
      <c r="N190" s="316"/>
      <c r="O190" s="316"/>
      <c r="P190" s="248"/>
    </row>
    <row r="191" spans="7:16">
      <c r="G191" s="248"/>
      <c r="H191" s="248"/>
      <c r="I191" s="248"/>
      <c r="J191" s="315"/>
      <c r="K191" s="315"/>
      <c r="L191" s="315"/>
      <c r="M191" s="315"/>
      <c r="N191" s="315"/>
      <c r="O191" s="315"/>
      <c r="P191" s="248"/>
    </row>
    <row r="192" spans="7:16">
      <c r="G192" s="248"/>
      <c r="H192" s="248"/>
      <c r="I192" s="248"/>
      <c r="J192" s="316"/>
      <c r="K192" s="316"/>
      <c r="L192" s="316"/>
      <c r="M192" s="316"/>
      <c r="N192" s="316"/>
      <c r="O192" s="316"/>
      <c r="P192" s="248"/>
    </row>
    <row r="193" spans="8:16">
      <c r="H193" s="248"/>
      <c r="I193" s="248"/>
      <c r="J193" s="248"/>
      <c r="K193" s="248"/>
      <c r="L193" s="248"/>
      <c r="M193" s="248"/>
      <c r="N193" s="248"/>
      <c r="O193" s="248"/>
      <c r="P193" s="248"/>
    </row>
    <row r="194" spans="8:16">
      <c r="H194" s="248"/>
      <c r="I194" s="248"/>
      <c r="J194" s="311"/>
      <c r="K194" s="311"/>
      <c r="L194" s="311"/>
      <c r="M194" s="311"/>
      <c r="N194" s="311"/>
      <c r="O194" s="311"/>
      <c r="P194" s="248"/>
    </row>
    <row r="195" spans="8:16">
      <c r="J195" s="310"/>
      <c r="K195" s="310"/>
      <c r="L195" s="310"/>
      <c r="M195" s="310"/>
      <c r="N195" s="310"/>
      <c r="O195" s="310"/>
    </row>
  </sheetData>
  <mergeCells count="35">
    <mergeCell ref="A115:B115"/>
    <mergeCell ref="K35:K36"/>
    <mergeCell ref="L35:W36"/>
    <mergeCell ref="J94:K94"/>
    <mergeCell ref="K68:W68"/>
    <mergeCell ref="B88:D88"/>
    <mergeCell ref="B109:D109"/>
    <mergeCell ref="J95:K95"/>
    <mergeCell ref="K99:W99"/>
    <mergeCell ref="B105:D105"/>
    <mergeCell ref="B106:D106"/>
    <mergeCell ref="B107:D107"/>
    <mergeCell ref="B108:D108"/>
    <mergeCell ref="AA37:AM37"/>
    <mergeCell ref="J63:K64"/>
    <mergeCell ref="AA68:AM68"/>
    <mergeCell ref="B72:D72"/>
    <mergeCell ref="B80:D80"/>
    <mergeCell ref="AA99:AM99"/>
    <mergeCell ref="B101:D101"/>
    <mergeCell ref="B102:D102"/>
    <mergeCell ref="E103:F103"/>
    <mergeCell ref="B104:D104"/>
    <mergeCell ref="J160:K160"/>
    <mergeCell ref="A116:B116"/>
    <mergeCell ref="J126:K126"/>
    <mergeCell ref="Z126:AA126"/>
    <mergeCell ref="J127:K127"/>
    <mergeCell ref="Z127:AA127"/>
    <mergeCell ref="X128:Y128"/>
    <mergeCell ref="AN128:AO128"/>
    <mergeCell ref="X129:Y129"/>
    <mergeCell ref="AN129:AO129"/>
    <mergeCell ref="K133:W133"/>
    <mergeCell ref="J159:K159"/>
  </mergeCells>
  <conditionalFormatting sqref="B13:G13 A17:G17">
    <cfRule type="expression" dxfId="0" priority="1" stopIfTrue="1">
      <formula>IF(#REF!="Valori personalizzati - campo attivo",1,0)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Simulazione 10.1</vt:lpstr>
      <vt:lpstr>Finanziamento</vt:lpstr>
      <vt:lpstr>Calcoli</vt:lpstr>
      <vt:lpstr>Autoconsumo</vt:lpstr>
      <vt:lpstr>'Simulazione 10.1'!Area_stampa</vt:lpstr>
      <vt:lpstr>Interest_Rate</vt:lpstr>
      <vt:lpstr>Loan_Amount</vt:lpstr>
      <vt:lpstr>Loan_Start</vt:lpstr>
      <vt:lpstr>Loan_Years</vt:lpstr>
      <vt:lpstr>Number_of_Payments</vt:lpstr>
      <vt:lpstr>Total_Cost</vt:lpstr>
      <vt:lpstr>Total_Interest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Capro</dc:creator>
  <cp:lastModifiedBy>Anonimo</cp:lastModifiedBy>
  <cp:lastPrinted>2013-04-24T16:01:48Z</cp:lastPrinted>
  <dcterms:created xsi:type="dcterms:W3CDTF">2012-05-08T21:23:52Z</dcterms:created>
  <dcterms:modified xsi:type="dcterms:W3CDTF">2013-11-12T15:48:40Z</dcterms:modified>
</cp:coreProperties>
</file>